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580" windowHeight="7140" activeTab="0"/>
  </bookViews>
  <sheets>
    <sheet name="Data" sheetId="1" r:id="rId1"/>
    <sheet name="Analysis" sheetId="2" r:id="rId2"/>
    <sheet name="Forecast Development" sheetId="3" r:id="rId3"/>
    <sheet name="Forecasts" sheetId="4" r:id="rId4"/>
    <sheet name="Valuation" sheetId="5" r:id="rId5"/>
  </sheets>
  <definedNames>
    <definedName name="Pal_Workbook_GUID" hidden="1">"CXTP1C6XTK66SIZVYWILZKMR"</definedName>
    <definedName name="_xlnm.Print_Area" localSheetId="1">'Analysis'!$A$1:$H$382</definedName>
    <definedName name="_xlnm.Print_Area" localSheetId="0">'Data'!$A$1:$G$154</definedName>
    <definedName name="_xlnm.Print_Area" localSheetId="2">'Forecast Development'!$A$1:$I$143</definedName>
    <definedName name="_xlnm.Print_Area" localSheetId="3">'Forecasts'!$A$1:$J$375</definedName>
    <definedName name="_xlnm.Print_Area" localSheetId="4">'Valuation'!$A$1:$J$274</definedName>
  </definedNames>
  <calcPr fullCalcOnLoad="1" iterate="1" iterateCount="100" iterateDelta="0.001"/>
</workbook>
</file>

<file path=xl/comments4.xml><?xml version="1.0" encoding="utf-8"?>
<comments xmlns="http://schemas.openxmlformats.org/spreadsheetml/2006/main">
  <authors>
    <author>Sarah Leonard</author>
  </authors>
  <commentList>
    <comment ref="A362" authorId="0">
      <text>
        <r>
          <rPr>
            <sz val="8"/>
            <rFont val="Tahoma"/>
            <family val="2"/>
          </rPr>
          <t xml:space="preserve">Accounts Receivable Turnover
</t>
        </r>
      </text>
    </comment>
    <comment ref="A363" authorId="0">
      <text>
        <r>
          <rPr>
            <sz val="8"/>
            <rFont val="Tahoma"/>
            <family val="2"/>
          </rPr>
          <t>Inventory Turnover</t>
        </r>
      </text>
    </comment>
    <comment ref="A364" authorId="0">
      <text>
        <r>
          <rPr>
            <sz val="8"/>
            <rFont val="Tahoma"/>
            <family val="2"/>
          </rPr>
          <t>Fixed Asset Turnover</t>
        </r>
      </text>
    </comment>
  </commentList>
</comments>
</file>

<file path=xl/sharedStrings.xml><?xml version="1.0" encoding="utf-8"?>
<sst xmlns="http://schemas.openxmlformats.org/spreadsheetml/2006/main" count="1225" uniqueCount="824">
  <si>
    <t xml:space="preserve">For long-run forecast amounts, the FSAP user needs to enter a long-run growth rate assumption. FSAP will automatically use that growth rate to compute forecast amounts for all of the accounts for Year +6 and beyond.  The FSAP user should not alter the specific forecast computations for any of the accounts for Year +6 and beyond. The FSAP user must be sure to enter the same long run growth rate assumption as a valuation parameter in the Valuation spreadsheet. </t>
  </si>
  <si>
    <t xml:space="preserve">This worksheet allows the FSAP user to build forecasts of future income statements, balance sheets, and statements of cash flows. FSAP automatically enters data from the DATA spreadsheet for the most recent three years in columns B, C, and D.  This worksheet allows the user flexibility to compute forecast amounts for each income statement and balance sheet account. For each account, the user should enter the forecast computations in the first row (highlighted in green with bold blue font). In the second row for each account, the user can enter forecast assumption parameters (such as growth rates or percentages) to be used in the forecast computations. In the third row for each account, the user can enter a brief explanatory note to explain the forecast assumptions.  The FSAP user can also develop more detailed computations of forecast amounts in the Forecast Development worksheet, and incorporate those forecast amounts by referencing them here in the Forecasts worksheet. </t>
  </si>
  <si>
    <t xml:space="preserve">Income Statement Default Assumptions: </t>
  </si>
  <si>
    <t>The FSAP Forecasts worksheet defaults to assume that each income statement line item will remain the same percent of total revenues as in the most current year.  The FSAP user must either accept this default as a reasonable expectation or override it and enter more reasonable forecast assumptions.</t>
  </si>
  <si>
    <t xml:space="preserve">Balance Sheet Default Assumptions: </t>
  </si>
  <si>
    <t xml:space="preserve">The FSAP Forecasts worksheet defaults to assume that each balance sheet item (except retained earnngs) will remain the same percent of total assets as in the most current year.  The FSAP user must either accept this default as a reasonable expectation or override it and enter more reasonable forecast assumptions.  </t>
  </si>
  <si>
    <t>Implied Statements of Cash Flows:</t>
  </si>
  <si>
    <t>Forecast Validity Checks:</t>
  </si>
  <si>
    <t xml:space="preserve">FSAP computes these ratios using the forecast amounts above. The FSAP user can evaluate these ratios to assess whether forecast assumptions are reasonable or not. </t>
  </si>
  <si>
    <t xml:space="preserve">  - build forecasts of capital expenditures, property, plant and equipment, depreciation expense, and accumulated depreciation.</t>
  </si>
  <si>
    <t>Forecast Development:</t>
  </si>
  <si>
    <t>Sales growth rate assumptions.</t>
  </si>
  <si>
    <t xml:space="preserve">Check Figure: </t>
  </si>
  <si>
    <t>Net change in cash - Change in cash balance</t>
  </si>
  <si>
    <t>FORECAST VALIDITY CHECK DATA:</t>
  </si>
  <si>
    <t>Net Income Growth Rates:</t>
  </si>
  <si>
    <t>Total Asset Growth Rates</t>
  </si>
  <si>
    <t>Total Liabilities / Total Equity</t>
  </si>
  <si>
    <t>Revenues</t>
  </si>
  <si>
    <t>Year</t>
  </si>
  <si>
    <t>COMMON SIZE BALANCE SHEET - AS A PERCENT OF TOTAL ASSETS</t>
  </si>
  <si>
    <t>INCOME STATEMENT ITEMS: GROWTH RATES</t>
  </si>
  <si>
    <t>BALANCE SHEET ITEMS: GROWTH RATES</t>
  </si>
  <si>
    <t>Explain assumptions</t>
  </si>
  <si>
    <t>Year +6 and beyond:</t>
  </si>
  <si>
    <t>Long-Run Growth Rate:</t>
  </si>
  <si>
    <t>Common Size Percentage</t>
  </si>
  <si>
    <t>Rate of Change Percentage</t>
  </si>
  <si>
    <t>FINANCIAL STATEMENT FORECASTS</t>
  </si>
  <si>
    <t>Revenue Growth Rates:</t>
  </si>
  <si>
    <t>Gross Profit / Revenues</t>
  </si>
  <si>
    <t>Revenues / Avg. Accounts Receivable</t>
  </si>
  <si>
    <t>Revenues / Average Fixed Assets</t>
  </si>
  <si>
    <t>Revenues / Average Net Fixed Assets</t>
  </si>
  <si>
    <t>INCOME STATEMENT ITEMS AS A PERCENT OF REVENUES:</t>
  </si>
  <si>
    <t>Effects of exchange rate changes on cash</t>
  </si>
  <si>
    <t>Stock Returns</t>
  </si>
  <si>
    <t>In the computations below, a #DIV/0! message indicates that a ratio denominator is zero.</t>
  </si>
  <si>
    <t>Add net income and subtract dividends; see dividends forecast box below.</t>
  </si>
  <si>
    <t>Total dividend forecast amounts.</t>
  </si>
  <si>
    <t>Dividends forecasts:</t>
  </si>
  <si>
    <t>Initial adjustment needed to balance the balance sheet:</t>
  </si>
  <si>
    <t xml:space="preserve"> </t>
  </si>
  <si>
    <t>VALUATION PARAMETER ASSUMPTIONS</t>
  </si>
  <si>
    <t>COST OF EQUITY CAPITAL:</t>
  </si>
  <si>
    <t>Debt capital</t>
  </si>
  <si>
    <t>Market risk premium</t>
  </si>
  <si>
    <t>Effective tax rate</t>
  </si>
  <si>
    <t>Required rate of return on common equity:</t>
  </si>
  <si>
    <t>COST OF PREFERRED STOCK</t>
  </si>
  <si>
    <t>Current share price</t>
  </si>
  <si>
    <t>WEIGHTED AVERAGE COST OF CAPITAL</t>
  </si>
  <si>
    <t>Weight of equity in capital structure</t>
  </si>
  <si>
    <t>Weight of debt in capital structure</t>
  </si>
  <si>
    <t>Weight of preferred in capital structure</t>
  </si>
  <si>
    <t>Weighted average cost of capital</t>
  </si>
  <si>
    <t>Continuing</t>
  </si>
  <si>
    <t>Value</t>
  </si>
  <si>
    <t>Net Cash Flow from Operations</t>
  </si>
  <si>
    <t>Add back: Interest Expense after tax</t>
  </si>
  <si>
    <t>Subtract: Interest Income after tax</t>
  </si>
  <si>
    <t>Free Cash Flow from Operations</t>
  </si>
  <si>
    <t>Net Cash Flow from Investing</t>
  </si>
  <si>
    <t>Present Value Factors</t>
  </si>
  <si>
    <t>Adjust to midyear discounting</t>
  </si>
  <si>
    <t>Shares Outstanding</t>
  </si>
  <si>
    <t xml:space="preserve">Percent difference </t>
  </si>
  <si>
    <t>(Value/price)-1: positive number indicates underpricing.</t>
  </si>
  <si>
    <t>Free Cash Flow for Common Equity</t>
  </si>
  <si>
    <t>Long-Run Growth Assumptions</t>
  </si>
  <si>
    <t>Discount</t>
  </si>
  <si>
    <t>Rates:</t>
  </si>
  <si>
    <t>RESIDUAL INCOME  VALUATION</t>
  </si>
  <si>
    <t xml:space="preserve">Comprehensive Income Available </t>
  </si>
  <si>
    <t xml:space="preserve">    for Common Shareholders</t>
  </si>
  <si>
    <t>Book Value of Common</t>
  </si>
  <si>
    <t xml:space="preserve">    Shareholders' Equity (at t-1)</t>
  </si>
  <si>
    <t>Required Earnings</t>
  </si>
  <si>
    <t>Residual Income</t>
  </si>
  <si>
    <t>Add: Beginning Book Value of Equity</t>
  </si>
  <si>
    <t>RESIDUAL INCOME VALUATION SENSITIVITY ANALYSIS:</t>
  </si>
  <si>
    <t>Market-to-Book Approach</t>
  </si>
  <si>
    <t xml:space="preserve">Implied ROCE </t>
  </si>
  <si>
    <t xml:space="preserve">Residual ROCE </t>
  </si>
  <si>
    <t>Add one for book value of equity at t-1</t>
  </si>
  <si>
    <t>Adjust to mid-year discounting</t>
  </si>
  <si>
    <t>Implied Market-to-Book Ratio</t>
  </si>
  <si>
    <t>Times Beginning Book Value of Equity</t>
  </si>
  <si>
    <t>Sensitivity analysis for the market-to-book approach should be identical to that of the residual income approach.</t>
  </si>
  <si>
    <t>Dividends Paid to Common Shareholders</t>
  </si>
  <si>
    <t>Less: Common Stock Issues</t>
  </si>
  <si>
    <t>Plus: Common Stock Repurchases</t>
  </si>
  <si>
    <t>Lagged Book Value of Common</t>
  </si>
  <si>
    <t>Net Income / Revenues</t>
  </si>
  <si>
    <t>Revenue Growth</t>
  </si>
  <si>
    <t>Net Income Growth</t>
  </si>
  <si>
    <t>PERSISTENT OPERATING PERFORMANCE (excluding the effects of nonrecurring items):</t>
  </si>
  <si>
    <t>Operating Profit / Revenues</t>
  </si>
  <si>
    <t>Persistent Operating Profit / Revenues</t>
  </si>
  <si>
    <t>Persistent Net Income / Revenues</t>
  </si>
  <si>
    <t>Persistent Net Income Growth</t>
  </si>
  <si>
    <t>GROWTH:</t>
  </si>
  <si>
    <t>Beneish Earnings Manipulation Score</t>
  </si>
  <si>
    <t>Bankruptcy Predictors:</t>
  </si>
  <si>
    <t>Altman Z Score</t>
  </si>
  <si>
    <t>Earnings Manipulation Predictors:</t>
  </si>
  <si>
    <t xml:space="preserve">   Bankruptcy Probability</t>
  </si>
  <si>
    <t xml:space="preserve">   Earnings Manipulation Probability</t>
  </si>
  <si>
    <t>Market Value to Book Value Ratio</t>
  </si>
  <si>
    <t>Accounts Payable Turnover</t>
  </si>
  <si>
    <t>Net Working Capital Days</t>
  </si>
  <si>
    <t xml:space="preserve">   Days Receivables Held</t>
  </si>
  <si>
    <t xml:space="preserve">   Days Inventory Held</t>
  </si>
  <si>
    <t xml:space="preserve">   Days Payables Held</t>
  </si>
  <si>
    <t>Accounts Receivable Turnover</t>
  </si>
  <si>
    <t xml:space="preserve">  - build detailed sales revenue forecasts</t>
  </si>
  <si>
    <t xml:space="preserve">  - build detailed forecasts of other financial statement amounts.</t>
  </si>
  <si>
    <t>Sales Revenue Forecast Development</t>
  </si>
  <si>
    <t>See Forecast Development worksheet for details of revenues forecasts.</t>
  </si>
  <si>
    <t>Amounts based on PepsiCo disclosures in Note 4.</t>
  </si>
  <si>
    <t>Assume steady SG&amp;A expense as a percent of sales.</t>
  </si>
  <si>
    <t xml:space="preserve">  Days Sales Held in Cash</t>
  </si>
  <si>
    <t>CAPEX Forecasts:</t>
  </si>
  <si>
    <t>CAPEX:</t>
  </si>
  <si>
    <t>Property, Plant and Equipment and Depreciation</t>
  </si>
  <si>
    <t>Property, Plant and Equipment and Depreciation Forecasts:</t>
  </si>
  <si>
    <t>PP&amp;E - net</t>
  </si>
  <si>
    <t>Remaining balance to be depreciated.</t>
  </si>
  <si>
    <t xml:space="preserve">PP&amp;E Purchases: </t>
  </si>
  <si>
    <t>Total Depreciation Expense</t>
  </si>
  <si>
    <t>Depreciation methods:</t>
  </si>
  <si>
    <t>Depreciation Expense</t>
  </si>
  <si>
    <t>Forecast Development: Capital Expenditures, Property, Plant and Equipment, and Depreciation</t>
  </si>
  <si>
    <t>Capital Expenditures:</t>
  </si>
  <si>
    <t>PP&amp;E Acquired</t>
  </si>
  <si>
    <t>PP&amp;E Sold</t>
  </si>
  <si>
    <t>Net CAPEX</t>
  </si>
  <si>
    <t>Net CAPEX as a percent of:</t>
  </si>
  <si>
    <t xml:space="preserve"> Gross PP&amp;E</t>
  </si>
  <si>
    <t>Avg Depreciable PPE</t>
  </si>
  <si>
    <t>(in years)</t>
  </si>
  <si>
    <t>Useful Life Forecast Assumption:</t>
  </si>
  <si>
    <t>Depreciation Expense Forecast Development:</t>
  </si>
  <si>
    <t>Existing PP&amp;E at cost:</t>
  </si>
  <si>
    <t>Depreciation expense forecast on existing PP&amp;E:</t>
  </si>
  <si>
    <t>Capex Year +1</t>
  </si>
  <si>
    <t>Capex Year +2</t>
  </si>
  <si>
    <t>Capex Year +3</t>
  </si>
  <si>
    <t>Capex Year +4</t>
  </si>
  <si>
    <t>Capex Year +5</t>
  </si>
  <si>
    <t>Depreciation expense forecasts on new PP&amp;E:</t>
  </si>
  <si>
    <t>Beg. balance at cost:</t>
  </si>
  <si>
    <t>End balance at cost:</t>
  </si>
  <si>
    <t>Add: CAPEX forecasts from above:</t>
  </si>
  <si>
    <t xml:space="preserve">PP&amp;E at cost: </t>
  </si>
  <si>
    <t>Accumulated Depreciation:</t>
  </si>
  <si>
    <t>Beg. Balance:</t>
  </si>
  <si>
    <t>End Balance:</t>
  </si>
  <si>
    <t>Subtract: Depreciation expense forecasts from below:</t>
  </si>
  <si>
    <t>Gross Profit Control Index</t>
  </si>
  <si>
    <t>Operating Profit Contol Index</t>
  </si>
  <si>
    <t>Assume growth with sales.</t>
  </si>
  <si>
    <t>PP&amp;E assumptions - see schedule in forecast development</t>
  </si>
  <si>
    <t>See depreciation schedule in forecast development worksheet.</t>
  </si>
  <si>
    <t>Treasury stock repurchases, net of treasury stock reissues.</t>
  </si>
  <si>
    <t>Net Income (enter reported amount as a check)</t>
  </si>
  <si>
    <t>Assets - Liabilities - Equities</t>
  </si>
  <si>
    <t>Net Income (computed) - Net Income (reported)</t>
  </si>
  <si>
    <t>Cash Changes</t>
  </si>
  <si>
    <t>SUPPLEMENTAL DATA</t>
  </si>
  <si>
    <t>RETURN ON ASSETS (based on reported amounts):</t>
  </si>
  <si>
    <t>RETURN ON ASSETS (excluding the effects of nonrecurring items):</t>
  </si>
  <si>
    <t>RETURN ON COMMON EQUITY (based on reported amounts):</t>
  </si>
  <si>
    <t>Explain assumptions.</t>
  </si>
  <si>
    <t>Cash Turnover</t>
  </si>
  <si>
    <t>Enter the amount of depreciation expense on property, plant and equipment. These amounts (if any) are usually disclosed either in the property, plant and equipment note or in a supplemental inforrmation note. If depreciation expense is not disclosed separately from amortization expense, enter depreciation plus amortization expense.</t>
  </si>
  <si>
    <t>Assume steady percent of total assets.</t>
  </si>
  <si>
    <t>Add accumulated other comprehensive income items from income statement</t>
  </si>
  <si>
    <t>The following implied statements of cash flows are derived from the above income statements and balance sheets. They are not the reported statements of cash flows.</t>
  </si>
  <si>
    <t>This row approximates depreciation expense using the change in accumulated depreciation.</t>
  </si>
  <si>
    <t xml:space="preserve">  Net Cash Flows from Operations</t>
  </si>
  <si>
    <t>These check figures should be zero, indicating the net change in cash on the statement of cash flows agrees with the change in cash on the balance sheet. If a check figure is not zero, it indicates one or more errors either in the balance sheet or the statement of cash flows. The user must find and correct any errors.</t>
  </si>
  <si>
    <t>Comprehensive Income Performance:</t>
  </si>
  <si>
    <t>These check figures should be zero, indicating the total assets on the  balance sheet balances with the total liabilities and shareholders' equity. If a check figure is not zero, it indicates one or more errors either on the balance sheet or in the plug figure used to balance the balance sheet. The user must find and correct any errors.</t>
  </si>
  <si>
    <t>VALUATION MODELS</t>
  </si>
  <si>
    <t>After-tax cost of debt capital</t>
  </si>
  <si>
    <t>Market Value Parameters:</t>
  </si>
  <si>
    <t>Long Run Growth Parameters:</t>
  </si>
  <si>
    <t>Cost of Equity Capital Parameters:</t>
  </si>
  <si>
    <t>Cost of Debt Capital Parameters:</t>
  </si>
  <si>
    <t>Cost of Preferred Stock Parameters:</t>
  </si>
  <si>
    <t>Weighted Average Cost of Capital:</t>
  </si>
  <si>
    <t>Enter the long run growth rate assumption for use in the valuation models. This growth rate must agree with the long run growth rate used to forecast Year +6 and Beyond in the Forecasts spreadsheet.</t>
  </si>
  <si>
    <t>The FSAP user must enter valuation parameter assumptions in the green-shaded, blue font boxes below. These valuation parameters involve the costs of common equity capital, debt capital, and preferred stock capital (if any), as well as the long run growth rate assumption.  FSAP references data in the Data spreadsheet and the Forecasts spreadsheet when available. FSAP uses these parameters to compute costs of capital to use as discount rates in the valuation models.</t>
  </si>
  <si>
    <t>Enter a risk-free rate of return, such as the yield on 3 to 5 year U.S. Treasury bonds.</t>
  </si>
  <si>
    <t xml:space="preserve">FSAP uses the above parameters to compute the after-tax cost of debt capital. </t>
  </si>
  <si>
    <t>Free Cash Flows for All Debt and Equity</t>
  </si>
  <si>
    <t>Free Cash Flows for Common Equity</t>
  </si>
  <si>
    <t>Dividends-Based Valuation</t>
  </si>
  <si>
    <t>This row enables the analyst to adjust for any investing cash flows that should be classified as financing cash flows. For example, if the investing cash flows include cash outflows to acquire investment securities that will be used to retire debt, then these cash outflows should be added back in computing free cash flows to debt and equity.</t>
  </si>
  <si>
    <t>The analyst should adjust free cash flows for changes in cash required for operations.  As firms grow, they typically require larger cash balances for liquidity in operating activities.  FSAP is programmed to automatically adjust free cash flows for the change in the cash balance, which is assumed to be required for operations.</t>
  </si>
  <si>
    <t>The analyst should adjust free cash flows for changes in cash required for operations.  As firms grow, they typically require larger cash balances for liquidity in operating activities.  FSAP is programmed to automatically adjust free cash flows for the changes in cash balances, which are assumed to be required for operations.</t>
  </si>
  <si>
    <t>Decrease (Increase) in Cash Required for Operations</t>
  </si>
  <si>
    <t>Free Cash Flows - All Debt and Equity</t>
  </si>
  <si>
    <t>This adjustment corrects for over-discounting. The present value factors discount from the end of each year to the present, whereas dividends, cash flows, and earnings are generated throughout the year. This adjustment computes the present value so that dividends, cash flows, and earnings are discounted from the mid-point of each year.</t>
  </si>
  <si>
    <t>The sum of the present value of net dividends through Year +5.</t>
  </si>
  <si>
    <t xml:space="preserve">The present value of continuing value dividends in Year +6 and beyond. Year +6 dividends are treated as a perpetuity with growth using the long-run growth rate assumption, discounted to present value at the equity cost of capital. </t>
  </si>
  <si>
    <t xml:space="preserve">The estimated value per share. </t>
  </si>
  <si>
    <t>Market-to-Book Valuation:</t>
  </si>
  <si>
    <t>Dividends-Based Valuation:</t>
  </si>
  <si>
    <t xml:space="preserve">FSAP automatically estimates the estimated useful life for depreciation purposes by dividing the average amount of gross depreciable PP&amp;E by depreciation expense.  This estimate assume straight line depreciation and zero salvage value. </t>
  </si>
  <si>
    <t xml:space="preserve">FSAP automatically computes a new depreciation schedule for each year's capital expenditures, which are included in PP&amp;E. These computations assume straight line depreciation methods and zero salvage value. The computations use the extimated useful life as computed below. </t>
  </si>
  <si>
    <t xml:space="preserve">This computation shows depreciation expense based on the exisiting depreciable PP&amp;E at the start of the forecast period. The computation assumes straight line depreciation methods, zero salvage value, and the estimated useful life computed below. .  </t>
  </si>
  <si>
    <t xml:space="preserve">The estimated value per share. The first-iteration estimate of share value using this approach frequently differs slightly from the other share value estimates. Several iterations can be required to adjust the weights of debt and equity used to compute WACC to agree with the value of common equity implied by this valuation model. </t>
  </si>
  <si>
    <t>Sensitivity Analyses:</t>
  </si>
  <si>
    <t xml:space="preserve">The FSAP user can enter the relevant range of discount rates in the left-most column and the relevant range of long run growth rates in the top row.  Enter the discount rates and growth rates as percentages.  </t>
  </si>
  <si>
    <t>Residual Income Valuation:</t>
  </si>
  <si>
    <t xml:space="preserve">Chapter 13 describes the residual income valuation approach. </t>
  </si>
  <si>
    <t xml:space="preserve">Chapter 12 describes the free cash flows-based valuation approaches. </t>
  </si>
  <si>
    <t xml:space="preserve">Chapter 14 describes the market-to-book valuation approach. </t>
  </si>
  <si>
    <t xml:space="preserve">Chapter 11 describes the dividends-based valuation approach. </t>
  </si>
  <si>
    <t xml:space="preserve">The present value of continuing free cash flows in Year +6 and beyond. Year +6 free cash flows are treated as a perpetuity with growth using the long-run growth rate assumption, discounted to present value at the equity cost of capital. </t>
  </si>
  <si>
    <t>The sum of the present value of residual income through Year +5.</t>
  </si>
  <si>
    <t>FSAP computes required earnings as the equity cost of capital times the beginning of year book value of common shareholders' equity.</t>
  </si>
  <si>
    <t xml:space="preserve">Residual income is the difference between projected comprehensive income available to common and required earnings. </t>
  </si>
  <si>
    <t xml:space="preserve">FSAP computes the implied ROCE, dividing comprehensive income by beginning of year book value of common equity. </t>
  </si>
  <si>
    <t xml:space="preserve">FSAP computes the residual ROCE as implied ROCE minus the equity cost of capital computed above.  </t>
  </si>
  <si>
    <t>The product of residual ROCE and the cumulative growth factor in common equity.</t>
  </si>
  <si>
    <t>Cumulative growth factor in common equity as of t-1</t>
  </si>
  <si>
    <t>FSAP computes the cumulative growth factor in common equity as beginning of year book value of common equity divided by book value of common equity on the firm's current balance sheet.</t>
  </si>
  <si>
    <t>RETURN ON COMMON EQUITY (excluding the effects of nonrecurring items):</t>
  </si>
  <si>
    <t>LT Debt / LT Capital</t>
  </si>
  <si>
    <t>This Forecast Development spreadsheet provides work space in which the analyst can:</t>
  </si>
  <si>
    <t>RETURN ON COMMON SHAREHOLDERS' EQUITY ANALYSIS (excluding the effects of non-recurring items)</t>
  </si>
  <si>
    <t>Interest Coverage Ratio (reported amounts)</t>
  </si>
  <si>
    <t>Interest Coverage ratio (recurring amounts)</t>
  </si>
  <si>
    <t>Price-Earnings Ratio (reported amounts)</t>
  </si>
  <si>
    <t>Price-Earnings Ratio (recurring amounts)</t>
  </si>
  <si>
    <t>RETURN ON ASSETS ANALYSIS (excluding the effects of non-recurring items)</t>
  </si>
  <si>
    <t>PPE at Cost</t>
  </si>
  <si>
    <t>Implied Avg. Useful Life in Years</t>
  </si>
  <si>
    <t xml:space="preserve">It is not necessary to use this spreadsheet to build financial statement forecasts in the FSAP Forecasts </t>
  </si>
  <si>
    <t>spreadsheet.  If you use this spreadsheet to build more detailed forecasts, the you will need to link these</t>
  </si>
  <si>
    <t xml:space="preserve">forecast amounts to the appropriate cells in the financial statements in the FSAP Forecasts spreadsheet.  </t>
  </si>
  <si>
    <t>A Comment on Entering Forecast Assumptions:</t>
  </si>
  <si>
    <t xml:space="preserve">A Comment on Balancing the Balance Sheet: </t>
  </si>
  <si>
    <t>A Comment on Forecasts for Year +6 and Beyond:</t>
  </si>
  <si>
    <t>Dividends to Common Equity</t>
  </si>
  <si>
    <t>Long-run growth assumption used in forecasts</t>
  </si>
  <si>
    <t>Long-run growth assumption used in valuation.</t>
  </si>
  <si>
    <t xml:space="preserve">  (Both long-run growth assumptions should be the same.)</t>
  </si>
  <si>
    <t>Add back: Net CFs into Financial Assets</t>
  </si>
  <si>
    <t>COST OF DEBT CAPITAL</t>
  </si>
  <si>
    <t>Cost of debt capital, before tax</t>
  </si>
  <si>
    <t>Number of shares outstanding</t>
  </si>
  <si>
    <t>Current market value</t>
  </si>
  <si>
    <t>Preferred stock capital</t>
  </si>
  <si>
    <t>Preferred dividends</t>
  </si>
  <si>
    <t>Equity risk factor (market beta)</t>
  </si>
  <si>
    <t>Risk free rate</t>
  </si>
  <si>
    <t>Implied yield</t>
  </si>
  <si>
    <t>A Comment on Entering Valuation Parameter Assumptions:</t>
  </si>
  <si>
    <t>Receivables</t>
  </si>
  <si>
    <t>Inventory</t>
  </si>
  <si>
    <t>Fixed Assets</t>
  </si>
  <si>
    <t>SHAREHOLDERS' EQUITY</t>
  </si>
  <si>
    <t>Wahlen, Baginski &amp; Bradshaw</t>
  </si>
  <si>
    <t>Insert your name in column B.</t>
  </si>
  <si>
    <t>Enter the name of the company in Column B.  This name will appear on the output of all spreadsheets within FSAP.</t>
  </si>
  <si>
    <t>FSAP automatically computes the amount of total current assets.</t>
  </si>
  <si>
    <t>FSAP automatically computes the amount of total assets.</t>
  </si>
  <si>
    <t>FSAP automatically computes the amount of total current liabilities.</t>
  </si>
  <si>
    <t>FSAP automatically computes the amount of total liabilitries.</t>
  </si>
  <si>
    <t>The amount for this item appears either on the Balance Sheet or the Statement of Shareholders' Equity. Be sure to enter as a positive or negative amount as appropriate.</t>
  </si>
  <si>
    <t>FSAP automatically computes the amount of total shareholders' equity.</t>
  </si>
  <si>
    <t>FSAP automatically computes the amount of total liabilities plus shareholders' equity.</t>
  </si>
  <si>
    <t>When entering income statement data, enter amounts that increase income (revenues, gains, income) as positive amounts, and enter amounts that decrease income (expenses, losses) as negative amounts.</t>
  </si>
  <si>
    <t>FSAP automatically computes the amount of gross profit.</t>
  </si>
  <si>
    <t>FSAP automatically computes the amount of operating profit.</t>
  </si>
  <si>
    <t xml:space="preserve">FSAP automatically computes the amount of income before tax. </t>
  </si>
  <si>
    <t>Enter the amount of income tax expense that appears on the income statement in the section for income from continuing operations.  If income tax expense reduces income, enter the amount as a negative number.</t>
  </si>
  <si>
    <t>FSAP automatically computes the amount of net income using the above data for revenues, expenses, gains and losses.</t>
  </si>
  <si>
    <t>FSAP automatically computes the amount of comprehensive income.</t>
  </si>
  <si>
    <t>FSAP automatically computes the amount of cash flow from operations.</t>
  </si>
  <si>
    <t xml:space="preserve">FSAP automatically computes the amount of cash flow from investing activities. </t>
  </si>
  <si>
    <t xml:space="preserve">FSAP automatically computes the amount of cash flow from financing activities. </t>
  </si>
  <si>
    <t>Enter the statutory income tax rate applicable to ordinary income and deductions (such as the deduction for interest expense). The Federal corporate income tax rate is currently 35 percent in the United States. Alternatively, one can  enter a statutory tax rate that captures the combined effects of Federal, state, and foreign income taxes. These rates are commonly disclosed in the tax note.</t>
  </si>
  <si>
    <t>Enter the total amount of preferred stock dividends paid, if any.</t>
  </si>
  <si>
    <t>Enter the amount that appears on the firm's income statement.</t>
  </si>
  <si>
    <t>This cell computes common dividends per share by dividing the dividend payments from the cash flow statement by the number of outstanding shares. This assumes the firm pays immaterial preferred dividends. If that assumption does not hold, enter the amount of common dividends per share directly.</t>
  </si>
  <si>
    <t xml:space="preserve">Asset turnover measures how efficiently the firm uses its assets to generate sales. It measures the number of sales dollars generated per average dollar invested in assets. </t>
  </si>
  <si>
    <t xml:space="preserve">Rate of return on assets is the product of the firm's profitability and its efficiency. </t>
  </si>
  <si>
    <t xml:space="preserve">Return on assets measures the rate of return the firm earns per average dollar invested in assets. </t>
  </si>
  <si>
    <t xml:space="preserve">See the preceding FSAP User Guides on ROA. </t>
  </si>
  <si>
    <t xml:space="preserve">Capital structure leverage measures the average amount invested in assets divided by the average amount financed by common equity shareholders. </t>
  </si>
  <si>
    <t xml:space="preserve">Rate of return on common equity is the product of the firm's profitability, efficiency, and leverage. </t>
  </si>
  <si>
    <t xml:space="preserve">Return on common  equity measures the rate of return the firm earns per average dollar in common shareholders' equity. </t>
  </si>
  <si>
    <t xml:space="preserve">See the preceding FSAP User Guides on ROCE. </t>
  </si>
  <si>
    <t xml:space="preserve">These computations of ROA exclude the after-tax effects of nonrecurring items in income to measure the firm's persistent ROA. </t>
  </si>
  <si>
    <t xml:space="preserve">These computations of ROCE exclude the after-tax effects of nonrecurring items in income to measure the firm's persistent ROCE. </t>
  </si>
  <si>
    <t>The Analysis worksheet in FSAP automatically computes a wide array of financial statement analysis ratios using the amounts entered on the Data worksheet.</t>
  </si>
  <si>
    <t xml:space="preserve">The FSAP User Guides next to each row provide brief descriptions of ratio computations. See the text for more in-depth discussion of how to compute and interpret each ratio. </t>
  </si>
  <si>
    <t>Row Format:</t>
  </si>
  <si>
    <t xml:space="preserve">FSAP checks the Data worksheet for an equality between total assets and total liabilities plus shareholders' equity. A non-zero amount in this row indicates a likely data input error in one or more balance sheet accounts. </t>
  </si>
  <si>
    <t xml:space="preserve">FSAP checks whether the net income amounts determined by revenue and expense amounts entered in the Data worksheet equal the reported amount of net income.  A non-zero amount on this row likely indicates an input error in one or more income statement accounts.  </t>
  </si>
  <si>
    <t xml:space="preserve">FSAP checks that the change in cash on the statement of cash flows equals the change in cash on the balance sheet in the Data worksheet. A non-zero amount indicates either a data input error on one or more rows of the cash flow statement or the use of a different definition of cash on the two financial statements.  The user should identify the reason for and correct any non-zero amount. </t>
  </si>
  <si>
    <t xml:space="preserve">Profit margin for ROA measures how much profitability the firm derives from its revenues. For this ratio, profitability is measured before the effects of financing costs (after tax) and minority interest in earnings. </t>
  </si>
  <si>
    <t xml:space="preserve">Profit margin for ROCE measures the net profit margin per dollar of sales. Profit margin for ROCE is measured after deducting any preferred dividends from net income, in order to compute the amount of net income available to common equity shareholders. </t>
  </si>
  <si>
    <t>Year-on-year growth rate in revenues.</t>
  </si>
  <si>
    <t>Year-on-year growth rate in net income.</t>
  </si>
  <si>
    <t>Year-on-year growth rate in net income, after excluding the effects of non-recurring items in income.</t>
  </si>
  <si>
    <t>OPERATING CONTROL:</t>
  </si>
  <si>
    <t>Profit Margin Decomposition:</t>
  </si>
  <si>
    <t>Gross Profit Margin</t>
  </si>
  <si>
    <t>Operating Profit Index</t>
  </si>
  <si>
    <t>Leverage Index</t>
  </si>
  <si>
    <t>Tax Index</t>
  </si>
  <si>
    <t>Net Profit Margin</t>
  </si>
  <si>
    <t>Comprehensive Income Index</t>
  </si>
  <si>
    <t>Comprehensive Income Margin</t>
  </si>
  <si>
    <t>Operating profit as a percent of gross profit. The complement of this percentage is the percent of gross profit absorbed by overhead and operating expenses.</t>
  </si>
  <si>
    <t xml:space="preserve">Income before tax as a percent of operating profit. The complement of this percentage is the percent of operating profit absorbed by (net) financing costs. If this index is great than 100%, it implies financing income (interest income, income from equity affiliates) exceeds financing costs (interest expense). </t>
  </si>
  <si>
    <t xml:space="preserve">Net income as a percent of income before tax. The complement of this percentage is the average effective tax rate. This index is also affected by items such as extraordinary gains and losses, discontinued operations, and changes in accounting principles. </t>
  </si>
  <si>
    <t xml:space="preserve">Net income as a percent of revenues. The net profit margin will also equal the product of the gross profit margin times the operating profit index, the leverage index and the tax index. </t>
  </si>
  <si>
    <t xml:space="preserve">Comprehensive income as a percent of net income. </t>
  </si>
  <si>
    <t xml:space="preserve">Comprehensive income as a percent of revenues. </t>
  </si>
  <si>
    <t>Current assets divided by current liabilities.</t>
  </si>
  <si>
    <t xml:space="preserve">More liquid current assets (cash and cash equivalents, marketable securities, accounts receivable) divided by current liabilities. </t>
  </si>
  <si>
    <t xml:space="preserve">Operating cash flows divided by the average amount of current liabilities. </t>
  </si>
  <si>
    <t xml:space="preserve">Total revenues divided by the average balance in accounts receivable. </t>
  </si>
  <si>
    <t>Inventory purchases (computed as cost of goods sold plus the change in inventory) divided by the average amount in accounts payable.</t>
  </si>
  <si>
    <t>The number of days in receivables is measured as 365 divided by the accounts receivable turnover rate. This measures the average number of days to collect receivables.</t>
  </si>
  <si>
    <t>The number of days in inventory is measured as 365 divided by the inventory turnover rate. This measures the average number of days to make and sell inventory.</t>
  </si>
  <si>
    <t>The number of days in payables is measured as 365 divided by the accounts payable turnover rate. This measures the average number of days to pay payables.</t>
  </si>
  <si>
    <t xml:space="preserve">Net working capital days measures the number of days to make and sell inventory plus the number of days to collect receivables, minus the number of days to pay payables. </t>
  </si>
  <si>
    <t xml:space="preserve">Total revenues divided by the average balance in net property, plant, and equipment. This measures efficiency is using fixed assets to generate revenues. </t>
  </si>
  <si>
    <t xml:space="preserve">Revenues divided by the average cash balance. </t>
  </si>
  <si>
    <t>Cost of goods sold divided by the average amaount of inventory.</t>
  </si>
  <si>
    <t xml:space="preserve">The number of days sales held in cash is measured as 365 divided by the cash turnover rate. It measures the average number of days of sales held in cash and cash equivalents. </t>
  </si>
  <si>
    <t xml:space="preserve">This ratio measures the percentage of total ssets financed by total liabilities. </t>
  </si>
  <si>
    <t>Assume slowly increasing cost of goods sold as a percent of sales.</t>
  </si>
  <si>
    <t>This debt/equity ratio measures total liabiliteis as a percent of common shareholders' equity.</t>
  </si>
  <si>
    <t>This ratio measures the percent of debt financing relative to total long term capital (long term debt plus commmon shareholders' equity).</t>
  </si>
  <si>
    <t>This ratio measures the percent of long term debt financing relative to commmon shareholders' equity.</t>
  </si>
  <si>
    <t>Operating cash flows divided by the average amount of total liabilities.</t>
  </si>
  <si>
    <t>Net income before interest expense, income taxes, and minority interest in income, divided by interest expense.</t>
  </si>
  <si>
    <t>Net income before interest expense, income taxes, minority interest in income, and non-recurring items divided by interest expense.</t>
  </si>
  <si>
    <t xml:space="preserve">The Altman Z-score is a multivariate predictor of bankruptcy. </t>
  </si>
  <si>
    <t>The probability of bankruptcy over the next two years as indicated by the Altman Z-score.</t>
  </si>
  <si>
    <t xml:space="preserve">The Beneish Earnings Manipulation Score is a multivariate indicator of the likelihood reported earnings numbers have been fraudulently manipulated. </t>
  </si>
  <si>
    <t xml:space="preserve">The probability of earnings manipulation given the Beneish Earnings Manipulation Score. </t>
  </si>
  <si>
    <t xml:space="preserve">Stock returns measure fiscal year-end share price plus dividends divided by beginning of year share price. </t>
  </si>
  <si>
    <t xml:space="preserve">Fiscal year-end share price divided by earnings per share. </t>
  </si>
  <si>
    <t xml:space="preserve">Fiscal year-end share price divided by earnings per share after excluding the per-share effects of non-recurring items in income. </t>
  </si>
  <si>
    <t xml:space="preserve">Market value of common equity divided by book value of common equity. </t>
  </si>
  <si>
    <t xml:space="preserve">All of the common-size income statement ratios measure a particular income amount as a percent of total revenues. </t>
  </si>
  <si>
    <t xml:space="preserve">The year-on-year growth rates indicate the annual rate of growth in a particular income item. </t>
  </si>
  <si>
    <t xml:space="preserve">The compound growth rates indicate the average compounded rate of growth in a particular income item over the five-year data period (six years of data yield five periods of growth). If fewer than six year of data have been entered into the Data Worksheet, these compounded growth rate computations should be revised to measure compounded growth over the period for which data are available.  </t>
  </si>
  <si>
    <t>Assets:</t>
  </si>
  <si>
    <t>Liabilities and Equities:</t>
  </si>
  <si>
    <t xml:space="preserve">All of the common-size balance sheet ratios measure a particular balance sheet amount as a percent of total assets. </t>
  </si>
  <si>
    <t>YEAR TO YEAR GROWTH RATES:</t>
  </si>
  <si>
    <t xml:space="preserve">The year-on-year growth rates indicate the annual rate of growth in a particular balance sheet item. </t>
  </si>
  <si>
    <t xml:space="preserve">The compound growth rates indicate the average compounded rate of growth in a particular balance sheet item over the five-year data period (six years of data yield five periods of growth). If fewer than six year of data have been entered into the Data Worksheet, these compounded growth rate computations should be revised to measure compounded growth over the period for which data are available.  </t>
  </si>
  <si>
    <t>Turnovers:</t>
  </si>
  <si>
    <t>STATEMENT OF CASH FLOWS: SUMMARY</t>
  </si>
  <si>
    <t>Operating Activities:</t>
  </si>
  <si>
    <t>Investing Activities:</t>
  </si>
  <si>
    <t>Investments</t>
  </si>
  <si>
    <t>Financing Activities:</t>
  </si>
  <si>
    <t xml:space="preserve">  Net Change in Cash</t>
  </si>
  <si>
    <t xml:space="preserve">This schematic provides a decomposition of ROA and ROCE into component ratios that determine ROA and ROCE. </t>
  </si>
  <si>
    <t xml:space="preserve">Level 3 component ratios provide more detail about components of income that affect the profit margin for ROA as well as turnover ratios for specific assets. </t>
  </si>
  <si>
    <t>By James Wahlen, Steve Baginski, and Mark Bradshaw</t>
  </si>
  <si>
    <t>Gross profit margin as a percent of revenues.</t>
  </si>
  <si>
    <t xml:space="preserve">Operating income as a percent of revenues. </t>
  </si>
  <si>
    <t>Net income as a percent of revenues.</t>
  </si>
  <si>
    <t>Comprehensive income as a percent of revenues.</t>
  </si>
  <si>
    <t>The rate of change in gross profit relative to the rate of change in revenues.</t>
  </si>
  <si>
    <t>The rate of change in operating income relative to the rate of change in revenues.</t>
  </si>
  <si>
    <t xml:space="preserve">Operating income as a percent of revenues after excluding the effects of non-recurring operating income items (such as non-recurring operating expenses and losses).  </t>
  </si>
  <si>
    <t>Net income as a percent of revenues, after excluding the effects of non-recurring items in income.</t>
  </si>
  <si>
    <t>Enter the amount of reported net income on this line.  It will be used by FSAP to provide a mathematical check on the amounts of all revenues and expenses on preceding lines.</t>
  </si>
  <si>
    <t xml:space="preserve">Enter any amounts of income (or &lt;loss&gt;) from equity or noncontrolled affiliates. </t>
  </si>
  <si>
    <t>Enter any amount reported in the separate section of the income statement labeled Discontinued Operations. The amount is reported net of tax effects.  Enter as a positive or negative number as appropriate.</t>
  </si>
  <si>
    <t>Enter any amount reported in the separate section of the income statement labeled Extraordinary Items.  The amount is reported net of taxes.  Enter as a positive or negative number as appropriate.</t>
  </si>
  <si>
    <t>Enter any amount reported in the separate section of the income statement labeled Changes in Accounting Principles. The amount is reported net of income taxes. Enter as a positive or negative number as appropriate.</t>
  </si>
  <si>
    <t>FSAP automatically enters the Net Income amount computed above.</t>
  </si>
  <si>
    <t>FSAP automatically computes the net change in cash.</t>
  </si>
  <si>
    <t>This rate is computed by FSAP as the ratio of the income tax expense to income before tax.</t>
  </si>
  <si>
    <t>In the Statement of Cash Flows Data, enter amounts reported on the firm's  statement of cash flows. Enter amounts that increase (decrease) cash as positive (negative) numbers. The row headings help indicate whether amounts should be positive or negative.</t>
  </si>
  <si>
    <t>The FSAP user must decide whether particular operating gains or losses are non-recurring - infrequent and unusual given the firm's business and operating environment.  If so, enter the amounts on the appropriate rows. Enter expense and loss amounts as negative numbers.</t>
  </si>
  <si>
    <t>Dividend Based Valuation</t>
  </si>
  <si>
    <t>Free Cash Flow Valuation</t>
  </si>
  <si>
    <t>Residual Income Valuation</t>
  </si>
  <si>
    <t>Residual Income Market-to-Book Valuation</t>
  </si>
  <si>
    <t>DATA CHECKS - Estimated Value per Share</t>
  </si>
  <si>
    <t>Free Cash Flow for All Debt and Equity Valuation</t>
  </si>
  <si>
    <t>FSAP automatically references the estimated value per share.</t>
  </si>
  <si>
    <t>This sales revenue forecast development schedule was developed specifically for PepsiCo. FSAP users who wish to develop detailed sales forecasts of other firms should adapt this schedule as necessary to incorporate the other firms' various soruces of revenue.</t>
  </si>
  <si>
    <t xml:space="preserve">The Property, Plant &amp; Equipment and Depreciation schedule automatically computes for the FSAP detailed forecasts of future PP&amp;E based on exisitng PP&amp;E plus projected future capital expenditures. The Depreciation expense schedule automatically computes future depreciation expense based on exisitng depreciable PP&amp;E future capital expenditures.  The expected useful life for depreciation purposes is computed below.  </t>
  </si>
  <si>
    <t xml:space="preserve">FSAP automatically links the projected amounts for gross PP&amp;E, accumulated depreciation, depreciation expense, and capital expenditures into the financial statements in the Forecasts worksheet. </t>
  </si>
  <si>
    <t>This computation shows the amount of gross PP&amp;E still to be depreciated.  Once this amount falls to zero, depreciation is complete.The FSAP user should be sure that these amounts are not negative.</t>
  </si>
  <si>
    <t xml:space="preserve">This row automatically sums the pre-tax amounts of unusual and nonrecurring items and the after-tax amounts of discontinued operatons, extraordinary items and changes in accounting principles from the income statement above. The analyst must then adjust the items that are stated in pre-tax amounts to an after-tax basis either by adjusting for the specific amounts of applicable tax (or tax savings) as disclosed by the firm, or if not disclosed, by adjusting these items for the statutory tax rate.  </t>
  </si>
  <si>
    <t>Enter the number of common shares outstanding at the end of each year.  Be sure to reduce the number of shares issued by the number of any shares held as treasury stock to arrive at the number of common shares outstanding.  The number of common shares outstanding should be expressed in the same numerical units (for example, thousands or millions) as the financial statement amounts entered in the preceding cells.</t>
  </si>
  <si>
    <t xml:space="preserve">This should be the closing market price per share on the last day of the firm's accounting period (usually December 31 of each year).  If stock markets are closed on the last day of the accounting period, use the closing price on the most recent trading day following the end of the period.  </t>
  </si>
  <si>
    <t xml:space="preserve">FSAP checks for an equality between total assets and total liabilities plus shareholders' equity. A non-zero amount in this row indicates a likely data input error in one or more balance sheet accounts. </t>
  </si>
  <si>
    <t xml:space="preserve">FSAP checks that the inputted amounts of revenues and expenses equal the reported amount of net income.  A non-zero amount on this row likely indicates an input error in one or more income statement accounts.  </t>
  </si>
  <si>
    <t xml:space="preserve">FSAP checks that the change in cash on the statement of cash flows equals the change in cash on the balance sheet. A non-zero amount indicates either a data input error on one or more rows of the cash flow statement or the use of a different definition of cash on the two financial statements.  The user should identify the reason for and correct any non-zero amount. </t>
  </si>
  <si>
    <t xml:space="preserve">The FSAP User Guides appear in column J to the right. </t>
  </si>
  <si>
    <t>The Data spreadsheet is designed for up to six years of financial statement data.  The user must input the most recent year of financial statement data in column G, regardless of the number of years of data inputted.</t>
  </si>
  <si>
    <t>The user must conform financial statement data to the FSAP template because the spreadsheets within FSAP use the Data spreadsheet as their base.  The user can, however, rename account titles as necessary to match the account titles of the particular firm. FSAP contains a number of general purpose accounts that can be renamed to fit the accounts of the particular firm (for example, Other Current Assets (1) and (2)).</t>
  </si>
  <si>
    <t xml:space="preserve">Throughout FSAP, enter amounts for account titles listed in brackets &lt;&gt; as negative numbers. Except for per share amounts, be consistent with the units of the amounts entered (for example, thosands or millions). </t>
  </si>
  <si>
    <t>FSAP User Guides:</t>
  </si>
  <si>
    <t>By James Wahlen, Steve Baginski and Mark Bradshaw</t>
  </si>
  <si>
    <t xml:space="preserve">  Current Assets</t>
  </si>
  <si>
    <t xml:space="preserve">   Total Assets</t>
  </si>
  <si>
    <t xml:space="preserve">  Current Liabilities</t>
  </si>
  <si>
    <t xml:space="preserve">  Total Liabilities</t>
  </si>
  <si>
    <t xml:space="preserve">  Total Liabilities and Equities</t>
  </si>
  <si>
    <t>Comprehensive Income</t>
  </si>
  <si>
    <t>Net Income</t>
  </si>
  <si>
    <t xml:space="preserve">  Net CF from Investing Activities</t>
  </si>
  <si>
    <t xml:space="preserve">  Net CF from Financing Activities</t>
  </si>
  <si>
    <t>Analyst Name:</t>
  </si>
  <si>
    <t>Company Name:</t>
  </si>
  <si>
    <t>Inventories</t>
  </si>
  <si>
    <t>FINANCIAL DATA CHECKS</t>
  </si>
  <si>
    <t>BALANCE SHEET DATA</t>
  </si>
  <si>
    <t>INCOME STATEMENT DATA</t>
  </si>
  <si>
    <t xml:space="preserve">  Gross Profit</t>
  </si>
  <si>
    <t xml:space="preserve">  Operating Profit</t>
  </si>
  <si>
    <t xml:space="preserve">  Income before Tax</t>
  </si>
  <si>
    <t xml:space="preserve">The Capital Expenditures schedule permits the FSAP user to build detailed forecasts of future capital expenditures as a percent of future revenues, gross PP&amp;E or any other reasonable basis for these forecast assumptions. </t>
  </si>
  <si>
    <t>Assume growth with SG&amp;A expenses, which grow with sales.</t>
  </si>
  <si>
    <t>STATEMENT OF CASH FLOWS DATA</t>
  </si>
  <si>
    <t>Year (Most recent in far right column.)</t>
  </si>
  <si>
    <t>DATA CHECKS</t>
  </si>
  <si>
    <t>PROFITABILITY FACTORS:</t>
  </si>
  <si>
    <t xml:space="preserve">  Profit Margin for ROA</t>
  </si>
  <si>
    <t>x Asset Turnover</t>
  </si>
  <si>
    <t>= Return on Assets</t>
  </si>
  <si>
    <t xml:space="preserve">  Profit Margin for ROCE</t>
  </si>
  <si>
    <t>x Capital Structure Leverage</t>
  </si>
  <si>
    <t>= Return on Common Equity</t>
  </si>
  <si>
    <t>OPERATING PERFORMANCE:</t>
  </si>
  <si>
    <t>Operating Profit Before Taxes / Revenues</t>
  </si>
  <si>
    <t>Comprehensive Income / Revenues</t>
  </si>
  <si>
    <t>ASSET TURNOVER:</t>
  </si>
  <si>
    <t>COGS / Average Inventory</t>
  </si>
  <si>
    <t>RISK FACTORS:</t>
  </si>
  <si>
    <t>LIQUIDITY:</t>
  </si>
  <si>
    <t>Current Ratio</t>
  </si>
  <si>
    <t>Quick Ratio</t>
  </si>
  <si>
    <t>Operating Cash Flow to Current Liabilities</t>
  </si>
  <si>
    <t>SOLVENCY:</t>
  </si>
  <si>
    <t>Total Liabilities / Total Assets</t>
  </si>
  <si>
    <t>Operating Cash Flow to Total Liabilities</t>
  </si>
  <si>
    <t>Interest Coverage Ratio</t>
  </si>
  <si>
    <t>COMPOUND</t>
  </si>
  <si>
    <t>GROWTH</t>
  </si>
  <si>
    <t>RATE</t>
  </si>
  <si>
    <t>ASSETS:</t>
  </si>
  <si>
    <t>LIABILITIES:</t>
  </si>
  <si>
    <t>RETURN ON ASSETS</t>
  </si>
  <si>
    <t>Level 1</t>
  </si>
  <si>
    <t>Level 2</t>
  </si>
  <si>
    <t>PROFIT MARGIN FOR ROA</t>
  </si>
  <si>
    <t>ASSET TURNOVER</t>
  </si>
  <si>
    <t>Level 3</t>
  </si>
  <si>
    <t>Inventory Turnover</t>
  </si>
  <si>
    <t>RETURN ON COMMON SHAREHOLDERS' EQUITY</t>
  </si>
  <si>
    <t>PROFIT MARGIN FOR ROCE</t>
  </si>
  <si>
    <t>CAPITAL STRUCTURE LEVERAGE</t>
  </si>
  <si>
    <t>FSAP OUTPUT:</t>
  </si>
  <si>
    <t>Actual Amounts</t>
  </si>
  <si>
    <t>Forecast Amounts</t>
  </si>
  <si>
    <t>Common Size Percent</t>
  </si>
  <si>
    <t>Forecast assumption</t>
  </si>
  <si>
    <t>Rate of Change Percent</t>
  </si>
  <si>
    <t>Forecast assumption explanation</t>
  </si>
  <si>
    <t>Long-Run Growth Factor:</t>
  </si>
  <si>
    <t>Actuals</t>
  </si>
  <si>
    <t>Forecasts</t>
  </si>
  <si>
    <t>Year +1</t>
  </si>
  <si>
    <t>Year +2</t>
  </si>
  <si>
    <t>Year +3</t>
  </si>
  <si>
    <t>Year +4</t>
  </si>
  <si>
    <t>Year +5</t>
  </si>
  <si>
    <t>Year +6</t>
  </si>
  <si>
    <t>INCOME STATEMENT</t>
  </si>
  <si>
    <t>common size</t>
  </si>
  <si>
    <t>rate of change</t>
  </si>
  <si>
    <t>BALANCE SHEET</t>
  </si>
  <si>
    <t>Check figures: Balance Sheet A=L+OE?</t>
  </si>
  <si>
    <t>Dividends</t>
  </si>
  <si>
    <t>IMPLIED STATEMENT OF CASH FLOWS</t>
  </si>
  <si>
    <t>Enter Balance Sheet Data:</t>
  </si>
  <si>
    <t>Enter Income Statement Data:</t>
  </si>
  <si>
    <t>Enter Statement of Cash Flows Data:</t>
  </si>
  <si>
    <t>Enter Supplemental Data:</t>
  </si>
  <si>
    <t>Profitability Factors:</t>
  </si>
  <si>
    <t>Risk Factors:</t>
  </si>
  <si>
    <t>Common-Sized Income Statements:</t>
  </si>
  <si>
    <t>Income Statement Growth Rates:</t>
  </si>
  <si>
    <t>Common-Sized Balance Sheets:</t>
  </si>
  <si>
    <t>Balance Sheet Growth Rates:</t>
  </si>
  <si>
    <t>Decomposition of ROA and ROCE:</t>
  </si>
  <si>
    <t>Summary Statement of Cash Flows:</t>
  </si>
  <si>
    <t xml:space="preserve">The Summary Statement of Cash Flows provides an aggregated summation of the major sources of cash inflows and outlfows. </t>
  </si>
  <si>
    <t xml:space="preserve">While the Statement of Cash Flows provides useful detail on specific cash inflows and outflows, this aggegation provide a high-level summary of major categories of cash being generated and used. This aggregation reveals quickly how cash is being generated and how cash is being used. </t>
  </si>
  <si>
    <t>Residual ROCE times cumulative growth</t>
  </si>
  <si>
    <t>The sum of the present value of residual ROCE times cumulative growth through Year +5.</t>
  </si>
  <si>
    <t xml:space="preserve">The present value of residual ROCE times cumulative growth in Year +6 and beyond. Year +6 residual ROCE is treated as a perpetuity with growth using the long-run growth rate assumption, discounted to present value at the equity cost of capital. </t>
  </si>
  <si>
    <t>The sum of the present value of free cash flows for common equity shareholders through Year +5.</t>
  </si>
  <si>
    <t>The sum of the present value of free cash flows for all debt and equity stakeholders through Year +5.</t>
  </si>
  <si>
    <t xml:space="preserve">Total present value of all equity and debt. </t>
  </si>
  <si>
    <t>Less: Value of Outstanding Debt</t>
  </si>
  <si>
    <t>Less: Value of Preferred Stock</t>
  </si>
  <si>
    <t>Plus: Value of Financial Assets</t>
  </si>
  <si>
    <t xml:space="preserve">Subtract the value of outstanding debt. Value should be market value, if known, or fair value if disclosed. If not, use book value. </t>
  </si>
  <si>
    <t xml:space="preserve">Subtract the value of outstanding preferred stock.  Value should be market value, if known, or fair value if disclosed. If not, use book value. </t>
  </si>
  <si>
    <t xml:space="preserve">Add the value of financial assets to be used to retire debt or pay dividends. Value should be market value, if known, or fair value if disclosed. If not, use book value. </t>
  </si>
  <si>
    <t xml:space="preserve">The analyst should program FSAP to subtract interest income after tax if the analyst determines that the firm's financial assets are part of the financial capital structure (such as investment securities intended to retire debt).    </t>
  </si>
  <si>
    <t xml:space="preserve">The present value of continuing free cash flows in Year +6 and beyond. Year +6 free cash flows are treated as a perpetuity with growth using the long-run growth rate assumption, discounted to present value at the weighted average cost of capital. </t>
  </si>
  <si>
    <t>The implied market-to-book value ratio.</t>
  </si>
  <si>
    <t xml:space="preserve">The present value of continuing residual income in Year +6 and beyond. Year +6 residual income is treated as a perpetuity with growth using the long-run growth rate assumption, discounted to present value at the equity cost of capital. </t>
  </si>
  <si>
    <t>Free Cash Flows for Common Equity Valuation:</t>
  </si>
  <si>
    <t>Free Cash Flows for All Debt and Equity Valuation:</t>
  </si>
  <si>
    <t>This row includes amortization expense on amortizable intangible assets.</t>
  </si>
  <si>
    <t xml:space="preserve">  Net Cash Flows from Investing Activities</t>
  </si>
  <si>
    <t xml:space="preserve">  Net Cash Flows from Financing Activities</t>
  </si>
  <si>
    <t xml:space="preserve">The FSAP User Guides appear in column I to the right. </t>
  </si>
  <si>
    <r>
      <t>Profit Margin for ROA</t>
    </r>
    <r>
      <rPr>
        <b/>
        <vertAlign val="superscript"/>
        <sz val="8"/>
        <rFont val="Arial"/>
        <family val="2"/>
      </rPr>
      <t>*</t>
    </r>
  </si>
  <si>
    <r>
      <t>*</t>
    </r>
    <r>
      <rPr>
        <b/>
        <sz val="8"/>
        <rFont val="Arial"/>
        <family val="2"/>
      </rPr>
      <t>Amounts do not sum.</t>
    </r>
  </si>
  <si>
    <t xml:space="preserve">The FSAP User Guides appear in column L to the right. </t>
  </si>
  <si>
    <t xml:space="preserve">The FSAP User Guides appear in column K to the right. </t>
  </si>
  <si>
    <t>FSAP automatically computes the amounts of various sub-totals and totals within the Data spreadsheet.  These items are shaded in gray and serve in checking the mathematical accuracy of inputted amounts.  FSAP checks to ensure that total assets equal total liabilities and shareholders’ equity, that total revenues and gains minus total expenses and losses equal reported net income, and that cash flows from operating, investing, and financing activities equal the change in cash on the balance sheet.  These financial data checks appear at the bottom of the Data spreadsheet.  Any material non-zero amounts (that are not due to rounding) on these rows require the user to re-check amounts inputted to identify and correct the error.</t>
  </si>
  <si>
    <t xml:space="preserve">FSAP uses the above parameters to compute the cost of preferred stock capital. </t>
  </si>
  <si>
    <t>FSAP computes market value of equity using market price per share times number of shares outstanding.</t>
  </si>
  <si>
    <t>Enter the market beta.</t>
  </si>
  <si>
    <t>Enter the expected market risk premium.  This is the amount by which the average expected rate of return on a diversified portfolio of stocks is expected to exceed the expected rate of return on a portfolio of risk free securities. Reasonable estimates commonly range from 3% to 9%.</t>
  </si>
  <si>
    <t>Using the above parameters, FSAP computes the expected rate of return on equity using the market model version of the CAPM.</t>
  </si>
  <si>
    <t xml:space="preserve">FSAP uses the total amount of short term debt and long term debt from the most recent balance sheet data in the Forecasts worksheet. The analyst can override this default by entering the market value of debt capital, if known.  </t>
  </si>
  <si>
    <t>FSAP uses the interest rate assumption entered in the Forecasts spreadsheet.  The analyst can override this default by entering here the expected interest rate on debt capital to be used in computing the weighted average cost of capital.  The interest rate on debt capital used here in valuation should be consistent with the interest rate assumed in the forecasts of future interest expense in the Forecasts Spreadsheet.</t>
  </si>
  <si>
    <t xml:space="preserve">FSAP uses the tax rate assumption entered in the Forecasts spreadsheet.  The analyst can override this default by entering here the effective tax rate for use in computing the effective after-tax cost of debt capital.  </t>
  </si>
  <si>
    <t xml:space="preserve">FSAP uses the most recent share price entered in the Data spreadsheet. The FSAP user can override this and enter the most recent share price directly in this cell. </t>
  </si>
  <si>
    <t xml:space="preserve">FSAP uses the most recent number of shares outstanding entered in the Data spreadsheet. The FSAP user can override this and enter the most recent number of shares outstanding directly in this cell. </t>
  </si>
  <si>
    <t xml:space="preserve">The FSAP user should only enter data in the blue-font cells shaded light green. </t>
  </si>
  <si>
    <t>FSAP uses the above weights and costs of capital to compute a weighted average cost of capital.</t>
  </si>
  <si>
    <t>FSAP uses implied dividends for common shareholders from the Forecasts worksheet.</t>
  </si>
  <si>
    <t>FSAP uses the change in common stock plus paid in capital from the Forecasts worksheet. Stock issues are treated as negative dividends.</t>
  </si>
  <si>
    <t xml:space="preserve">FSAP uses the change in treasury stock from the Forecasts worksheet. Purchases of treasury stock are treated as dividends. </t>
  </si>
  <si>
    <t xml:space="preserve">FSAP uses the preferred stock dividend entered in the Forecasts spreadsheet. The analyst can override this default by entering the required rate of return on preferred stock, if known. </t>
  </si>
  <si>
    <t xml:space="preserve">These present value factors are based on the equity cost of capital, computed above. </t>
  </si>
  <si>
    <t xml:space="preserve">These present value factors are based on the weighted average cost of capital, computed above. </t>
  </si>
  <si>
    <t>FSAP uses net cash flows from operations from the Forecasts worksheet.</t>
  </si>
  <si>
    <t>FSAP uses net cash flows from investing from the Forecasts worksheet.</t>
  </si>
  <si>
    <t>FSAP uses net cash flows from debt financing from the Forecasts worksheet.</t>
  </si>
  <si>
    <t>FSAP uses net cash flows from preferred stock and minority interests from the Forecasts worksheet.</t>
  </si>
  <si>
    <t xml:space="preserve">These figures represent the forecasted total dividends to common equity shareholders. </t>
  </si>
  <si>
    <t xml:space="preserve">These figures represent the forecasted total free cash flows to common equity shareholders. </t>
  </si>
  <si>
    <t xml:space="preserve">These figures represent the forecasted total free cash flows to all debt and equity stakeholders. </t>
  </si>
  <si>
    <t>FSAP uses comprehensive income from the Forecasts worksheet, less any expected dividends to preferred stockholders.</t>
  </si>
  <si>
    <t>FSAP uses beginning of year (lagged) book value of common shareholders' equity from the Forecasts worsksheet.</t>
  </si>
  <si>
    <t>FSAP uses beginning of year (lagged) book value of common shareholders' equity from the Forecasts worksheet.</t>
  </si>
  <si>
    <t>FSAP uses interest expense from the Forecasts worksheet, and adds back the after-tax amount of interest expense.</t>
  </si>
  <si>
    <t>Cash and cash equivalents</t>
  </si>
  <si>
    <t>Marketable securities</t>
  </si>
  <si>
    <t>Prepaid expenses and other current assets</t>
  </si>
  <si>
    <t>Other current assets (2)</t>
  </si>
  <si>
    <t>&lt;Accumulated depreciation&gt;</t>
  </si>
  <si>
    <t>Amortizable intangible assets (net)</t>
  </si>
  <si>
    <t>Notes payable and short-term debt</t>
  </si>
  <si>
    <t>Current maturities of long-term debt</t>
  </si>
  <si>
    <t>Income taxes payable</t>
  </si>
  <si>
    <t>Other current liabilities (2)</t>
  </si>
  <si>
    <t>Long-term accrued liabilities</t>
  </si>
  <si>
    <t>Other noncurrent liabilities (2)</t>
  </si>
  <si>
    <t>Preferred stock</t>
  </si>
  <si>
    <t>Common stock + Additional paid in capital</t>
  </si>
  <si>
    <t>Retained earnings &lt;deficit&gt;</t>
  </si>
  <si>
    <t>Accum. other comprehensive income &lt;loss&gt;</t>
  </si>
  <si>
    <t>&lt;Cost of goods sold&gt;</t>
  </si>
  <si>
    <t>&lt;Selling, general and administrative expenses&gt;</t>
  </si>
  <si>
    <t>&lt;Research and development expenses&gt;</t>
  </si>
  <si>
    <t>&lt;Amortization of intangible assets&gt;</t>
  </si>
  <si>
    <t>&lt;Other operating expenses (1)&gt;</t>
  </si>
  <si>
    <t>&lt;Other operating expenses (2)&gt;</t>
  </si>
  <si>
    <t>Other operating income (1)</t>
  </si>
  <si>
    <t>Other operating income (2)</t>
  </si>
  <si>
    <t>Interest income</t>
  </si>
  <si>
    <t>&lt;Interest expense&gt;</t>
  </si>
  <si>
    <t>Income &lt;Loss&gt; from equity affiliates</t>
  </si>
  <si>
    <t>&lt;Income tax expense&gt;</t>
  </si>
  <si>
    <t>Income &lt;Loss&gt; from discontinued operations</t>
  </si>
  <si>
    <t>Extraordinary gains &lt;losses&gt;</t>
  </si>
  <si>
    <t>Changes in accounting principles</t>
  </si>
  <si>
    <t>Other comprehensive income items</t>
  </si>
  <si>
    <t>Add back depreciation and amortization expenses</t>
  </si>
  <si>
    <t>Add back stock-based compensation expense</t>
  </si>
  <si>
    <t>Deferred income taxes</t>
  </si>
  <si>
    <t>&lt;Income from equity affiliates, net of dividends&gt;</t>
  </si>
  <si>
    <t>&lt;Increase&gt; Decrease in accounts receivable</t>
  </si>
  <si>
    <t>&lt;Increase&gt; Decrease in inventories</t>
  </si>
  <si>
    <t>&lt;Increase&gt; Decrease in prepaid expenses</t>
  </si>
  <si>
    <t>&lt;Increase&gt; Decrease in other current assets (1)</t>
  </si>
  <si>
    <t>&lt;Increase&gt; Decrease in other current assets (2)</t>
  </si>
  <si>
    <t>Increase &lt;Decrease&gt; in accounts payable</t>
  </si>
  <si>
    <t>Increase &lt;Decrease&gt; in other current liabilities (1)</t>
  </si>
  <si>
    <t>Increase &lt;Decrease&gt; in other current liabilities (2)</t>
  </si>
  <si>
    <t>Increase &lt;Decrease&gt; in other noncurrent liabilities (1)</t>
  </si>
  <si>
    <t>Increase &lt;Decrease&gt; in other noncurrent liabilities (2)</t>
  </si>
  <si>
    <t>Other operating cash flows</t>
  </si>
  <si>
    <t>Proceeds from sales of property, plant, and equipment</t>
  </si>
  <si>
    <t>&lt;Property, plant, and equipment acquired&gt;</t>
  </si>
  <si>
    <t>&lt;Increase&gt; Decrease in marketable securities</t>
  </si>
  <si>
    <t>Investments sold</t>
  </si>
  <si>
    <t>&lt;Investments acquired&gt;</t>
  </si>
  <si>
    <t>Issue of capital stock</t>
  </si>
  <si>
    <t>Proceeds from stock option exercises</t>
  </si>
  <si>
    <t>&lt;Share repurchases - treasury stock&gt;</t>
  </si>
  <si>
    <t>&lt;Dividend payments&gt;</t>
  </si>
  <si>
    <t>Other financing transactions (1)</t>
  </si>
  <si>
    <t>Other financing transactions (2)</t>
  </si>
  <si>
    <t>Cash and cash equivalents, beginning of year</t>
  </si>
  <si>
    <t>Cash and cash equivalents, end of year</t>
  </si>
  <si>
    <t>Statutory tax rate</t>
  </si>
  <si>
    <t xml:space="preserve">Average tax rate implied from income statement data </t>
  </si>
  <si>
    <t>After-tax effects of nonrecurring and unusual items on net income</t>
  </si>
  <si>
    <t>Depreciation expense</t>
  </si>
  <si>
    <t>Preferred stock dividends (total, if any)</t>
  </si>
  <si>
    <t>Common shares outstanding</t>
  </si>
  <si>
    <t>Earnings per share (basic)</t>
  </si>
  <si>
    <t>Common dividends per share</t>
  </si>
  <si>
    <t xml:space="preserve">Other current assets (1) and (2) can be renamed and used for different types of current assets for different firms. </t>
  </si>
  <si>
    <t xml:space="preserve">Other noncurrent assets (1) and (2) can be renamed and used for different types of long term assets for different firms. </t>
  </si>
  <si>
    <t xml:space="preserve">Other current liabilities (1) and (2) can be renamed and used for different types of current liabilities for different firms. </t>
  </si>
  <si>
    <t xml:space="preserve">Other noncurrent liabilities (1) and (2) can be renamed and used for different types of non-current liabilities for different firms. </t>
  </si>
  <si>
    <t xml:space="preserve">Other operating expenses (1), (2), and (3) can be renamed and used for different types of recurring operating expenses for different firms. </t>
  </si>
  <si>
    <t xml:space="preserve">Other operating income (1) and (2) can be renamed used for different sources of recurring operating income for different firms. </t>
  </si>
  <si>
    <t>Net cash flows for working capital</t>
  </si>
  <si>
    <t>Other net addbacks/subtractions</t>
  </si>
  <si>
    <t>Capital expenditures (net)</t>
  </si>
  <si>
    <t>Other investing transactions</t>
  </si>
  <si>
    <t>Net proceeds from short-term borrowing</t>
  </si>
  <si>
    <t>Net proceeds from long-term borrowing</t>
  </si>
  <si>
    <t>Net proceeds from share issues and repurchases</t>
  </si>
  <si>
    <t>Other financing transactions</t>
  </si>
  <si>
    <t>Common dividends:</t>
  </si>
  <si>
    <t>Preferred dividends:</t>
  </si>
  <si>
    <t>Total dividends:</t>
  </si>
  <si>
    <t>Add back depreciation expense (net)</t>
  </si>
  <si>
    <t>Add back amortization expense (net)</t>
  </si>
  <si>
    <t>&lt;Increase&gt; Decrease in receivables - net</t>
  </si>
  <si>
    <t>Increase &lt;Decrease&gt; in accounts payable - trade</t>
  </si>
  <si>
    <t>Increase &lt;Decrease&gt; in current accrued liabilities</t>
  </si>
  <si>
    <t>Increase &lt;Decrease&gt; in income taxes payable</t>
  </si>
  <si>
    <t>Net change in deferred tax assets and liabilities</t>
  </si>
  <si>
    <t>Increase &lt;Decrease&gt; in long-term accrued liabilities</t>
  </si>
  <si>
    <t>&lt;Increase&gt; Decrease in property, plant, &amp; equip. at cost</t>
  </si>
  <si>
    <t>&lt;Increase&gt; Decrease in investment securities</t>
  </si>
  <si>
    <t>&lt;Increase&gt; Decrease in amortizable intangible assets (net)</t>
  </si>
  <si>
    <t>&lt;Increase&gt; Decrease in goodwill and nonamort. intangibles</t>
  </si>
  <si>
    <t>&lt;Increase&gt; Decrease in other noncurrent assets (1)</t>
  </si>
  <si>
    <t>&lt;Increase&gt; Decrease in other noncurrent assets (2)</t>
  </si>
  <si>
    <t>Increase &lt;Decrease&gt; in short-term debt</t>
  </si>
  <si>
    <t>Increase &lt;Decrease&gt; in long-term debt</t>
  </si>
  <si>
    <t>Increase &lt;Decrease&gt; in common stock + paid in capital</t>
  </si>
  <si>
    <t>Check: All Estimated Value per Share amounts should be the same, with the possible exception of the share value from the</t>
  </si>
  <si>
    <t xml:space="preserve"> Free Cash Flow for All Debt and Equity model.  See additional comments in cell L266.</t>
  </si>
  <si>
    <t>Present Value Net Dividends</t>
  </si>
  <si>
    <t>Sum of Present Value Net Dividends</t>
  </si>
  <si>
    <t>Present Value of Continuing Value</t>
  </si>
  <si>
    <t>Present Value Free Cash Flows</t>
  </si>
  <si>
    <t>Sum of Present Value Free Cash Flows</t>
  </si>
  <si>
    <t>Present Value Residual Income</t>
  </si>
  <si>
    <t>Sum of Present Value Residual Income</t>
  </si>
  <si>
    <t>Present Value of Equity</t>
  </si>
  <si>
    <t>Present Value Residual ROCE times growth</t>
  </si>
  <si>
    <t>Sum of Present Value Residual ROCE times growth</t>
  </si>
  <si>
    <t>Total Present Value Residual ROCE</t>
  </si>
  <si>
    <t>Payments for acquisitions of intangible assets</t>
  </si>
  <si>
    <t xml:space="preserve">Other investment transactions </t>
  </si>
  <si>
    <t>Current accrued expenses</t>
  </si>
  <si>
    <t>PepsiCo</t>
  </si>
  <si>
    <t>Other current assets (1)</t>
  </si>
  <si>
    <t>Other nonamortizable intangible assets</t>
  </si>
  <si>
    <t>Other noncurrent liabilities (1)</t>
  </si>
  <si>
    <t>Investments in noncontrolled affiliates</t>
  </si>
  <si>
    <t xml:space="preserve">Other assets </t>
  </si>
  <si>
    <t>Long-term debt obligations</t>
  </si>
  <si>
    <t>Noncontrolling interests</t>
  </si>
  <si>
    <t xml:space="preserve">  Total Equity</t>
  </si>
  <si>
    <t xml:space="preserve"> Total Common Shareholders' Equity</t>
  </si>
  <si>
    <t>Net income attributable to noncontrolling interests</t>
  </si>
  <si>
    <t xml:space="preserve">  Net Income </t>
  </si>
  <si>
    <t xml:space="preserve">  Net Income attributable to common shareholders</t>
  </si>
  <si>
    <t xml:space="preserve">Enter the amount of net income attributable to noncontrolling interests.  Enter amount as a negative number. If the firm reports a net loss attributable to noncontrolling interests, enter the amount as a positive number. </t>
  </si>
  <si>
    <t>This amount usually appears in the Statement of Comprehensive Income.  Enter as a positive or negative number as appropriate.</t>
  </si>
  <si>
    <t>Goodwill</t>
  </si>
  <si>
    <t>Other current liabilities (1)</t>
  </si>
  <si>
    <t>Accounts payable</t>
  </si>
  <si>
    <t>Other addbacks to &lt;subtractions from&gt; net income</t>
  </si>
  <si>
    <t>Increase &lt;Decrease&gt; in other current liabilities</t>
  </si>
  <si>
    <t>Increase &lt;Decrease&gt; in other noncurrent liabilities</t>
  </si>
  <si>
    <t>&lt;Increase&gt; Decrease in other current assets</t>
  </si>
  <si>
    <t>&lt;Increase&gt; Decrease in other noncurrent assets</t>
  </si>
  <si>
    <t xml:space="preserve">  Net CF from Operating Activities</t>
  </si>
  <si>
    <t>LT Debt / Total Equity</t>
  </si>
  <si>
    <t>RETURN ON COMMON SHAREHOLDERS' EQUITY ANALYSIS: Alternative Approach to Disaggregation</t>
  </si>
  <si>
    <t>INPUT VARIABLES</t>
  </si>
  <si>
    <t>Net Operating Profit After Tax (NOPAT)</t>
  </si>
  <si>
    <t>Net Financing Expense After Tax</t>
  </si>
  <si>
    <t>Total Revenues</t>
  </si>
  <si>
    <t>Average Net Operating Assets</t>
  </si>
  <si>
    <t>Average Financing Obligations</t>
  </si>
  <si>
    <t>Average Common Equity</t>
  </si>
  <si>
    <t>ROCE</t>
  </si>
  <si>
    <t>Operating ROA (NOPAT/Average NOA)</t>
  </si>
  <si>
    <t>Net Borrowing Rate</t>
  </si>
  <si>
    <t>Spread</t>
  </si>
  <si>
    <t>Leverage</t>
  </si>
  <si>
    <t>Leverage*Spread</t>
  </si>
  <si>
    <t>Profit margin for operating ROA</t>
  </si>
  <si>
    <t>Net operating asset turnover</t>
  </si>
  <si>
    <t>ROCE = Operating ROA+Leverage*Spread</t>
  </si>
  <si>
    <t>Frito-Lay North America</t>
  </si>
  <si>
    <t>Quaker Foods North America</t>
  </si>
  <si>
    <t>Latin America Foods</t>
  </si>
  <si>
    <t>PepsiCo Americas Beverages</t>
  </si>
  <si>
    <t>growth rates</t>
  </si>
  <si>
    <t>53rd week effect</t>
  </si>
  <si>
    <t>Sales Forecasts Combined by Divisions:</t>
  </si>
  <si>
    <t>Sales Forecasts for PepsiCo by Division:</t>
  </si>
  <si>
    <t>growth in volume</t>
  </si>
  <si>
    <t>impact of foreign currency translation</t>
  </si>
  <si>
    <t>overall growth rates</t>
  </si>
  <si>
    <t>Europe</t>
  </si>
  <si>
    <t>Asia, Middle East &amp; Africa</t>
  </si>
  <si>
    <t xml:space="preserve">  PepsiCo Total Net Revenues</t>
  </si>
  <si>
    <t>Financial Statement Analysis Package (FSAP): Version 8.0</t>
  </si>
  <si>
    <t>Financial Reporting, Financial Statement Analysis, and Valuation: A Strategic Perspective, 8th Edition</t>
  </si>
  <si>
    <t>Non-recurring operating gains &lt;losses&gt;</t>
  </si>
  <si>
    <t>Other income or gains &lt;Other expenses or losses&gt;</t>
  </si>
  <si>
    <t>Enter income or gain amounts (or expense or loss amounts as negative numbers) that are unusual and non-recurring and outside of normal business operations.</t>
  </si>
  <si>
    <t>Assume preferred stock retired.</t>
  </si>
  <si>
    <t>DIVIDEND and STOCK MARKET-BASED RATIOS:</t>
  </si>
  <si>
    <t>Common Dividends per Share</t>
  </si>
  <si>
    <t>Common Dividend Payout (% of Net Income)</t>
  </si>
  <si>
    <t>Common Dividend Yield (% of Share Price)</t>
  </si>
  <si>
    <t>&lt;Treasury stock&gt; and other equity adjustments</t>
  </si>
  <si>
    <t xml:space="preserve">Include on this line any treasury stock accounts and any items that do not fall within some other shareholders' equity line.  Such items seldom appear in balance sheets of U.S. firms.  Amounts that increase (decrease) total shareholders' equity should be entered as positive (negative) amounts. </t>
  </si>
  <si>
    <t xml:space="preserve">Increase &lt;Decrease&gt; in accum. OCI </t>
  </si>
  <si>
    <t>Increase &lt;Decrease&gt; in treasury stock and other equity adjs.</t>
  </si>
  <si>
    <t>Increase &lt;Decrease&gt; in noncontrolling interests</t>
  </si>
  <si>
    <t>Share price at fiscal year end</t>
  </si>
  <si>
    <t>Increase &lt;Decrease&gt; in preferred stock</t>
  </si>
  <si>
    <t>The Forecasts spreadsheet is programmed to balance the balance sheet by adjusting treasury stock purchases (see forecast box below). The user can alter this assumption by reprogamming the computations to adjust an alternate flexible financial account.</t>
  </si>
  <si>
    <t>The initial adjustment to balance the balance sheet is computed as total assets minus total liabilities and shareholders equity before any adjustments. The initial adjustment amount is then used to adjust treasury stock purchases so that total assets equal total liabilities and equities.</t>
  </si>
  <si>
    <t xml:space="preserve">Negative adjustment amounts indicate the firm has excess capital and can increase treasury stock purchases.  Positive amounts indicate that the firm needs more capital to balance the balance sheet, so treasury stoick purchases have to be reduced, or additional equity capital must be issued.  </t>
  </si>
  <si>
    <t xml:space="preserve">Flexible Financial Account: </t>
  </si>
  <si>
    <t xml:space="preserve">Original Forecast Amounts: </t>
  </si>
  <si>
    <t>Implied adjustments:</t>
  </si>
  <si>
    <t>Treasury stock repurchases, net of reissues, per PepsiCo  disclosures.</t>
  </si>
  <si>
    <t>Total:</t>
  </si>
  <si>
    <t>Adjustment needed to balance the balance sheet, from above.</t>
  </si>
  <si>
    <t>Total Treasury Stock Purchase Amounts</t>
  </si>
  <si>
    <t>Treasury Stock Purchases:</t>
  </si>
  <si>
    <t>Increase &lt;Decrease&gt; in short-term borrowing</t>
  </si>
  <si>
    <t>Increase &lt;Decrease&gt; in long-term borrowing</t>
  </si>
  <si>
    <t>growth from price changes</t>
  </si>
  <si>
    <t>growth in volume and acquisitions</t>
  </si>
  <si>
    <t>Assume effective income tax rate equal to that of past two years.</t>
  </si>
  <si>
    <t>Assume ending accounts receivable equals 39 days sales.</t>
  </si>
  <si>
    <t>Assume a 50 day payment period consistent with prior year.</t>
  </si>
  <si>
    <t xml:space="preserve">Assume 8% growth, consistent with past two years. </t>
  </si>
  <si>
    <t>Assume random walk with mean zero.</t>
  </si>
  <si>
    <t>Assume 9 percent decline, consistent with trend since 2010.</t>
  </si>
  <si>
    <t>Assume continued increase in ending inventory, consistent with recent trend.</t>
  </si>
  <si>
    <t>Assume amortization per PepsiCo disclosures in Note 4.</t>
  </si>
  <si>
    <t>Assume a constant 0.5% of total assets.</t>
  </si>
  <si>
    <t>Assume a constant 6.8% of total assets.</t>
  </si>
  <si>
    <t>Assume ending cash balances equal to 28 days sales.</t>
  </si>
  <si>
    <t>Weighted average interest rate on financial liabilities.</t>
  </si>
  <si>
    <t>Assume growth that is one perrcent faster than total assets growth.</t>
  </si>
  <si>
    <t>Assume growth that is one percent faster than total assets growth.</t>
  </si>
  <si>
    <t>Assume 1.0% interest earned on avg balance in cash and marketable securities.</t>
  </si>
  <si>
    <t xml:space="preserve">Assume $63 million paid to retire preferred shares. </t>
  </si>
  <si>
    <t xml:space="preserve">Assume noncontrolling interests earn a 10% rate of return. </t>
  </si>
  <si>
    <t xml:space="preserve">Assume noncontrolling interests remain constant; all earnings distributed. </t>
  </si>
  <si>
    <t>Less: Noncontrolling Interests</t>
  </si>
  <si>
    <t>Dividends Valuation Sensitivity Analysis:</t>
  </si>
  <si>
    <t>Cost of Noncontrolling Interests Parameters:</t>
  </si>
  <si>
    <t xml:space="preserve">FSAP uses the amount of equity capital attributable to noncontrolling interests entered in the most recent balance sheet data in the Forecasts worksheet. The analyst can override this default by entering the market value of noncontrolling interests, if known.  </t>
  </si>
  <si>
    <t xml:space="preserve">FSAP uses the earnings attributable to noncontrolling interests entered in the Forecasts spreadsheet. The analyst can override this default by entering the required rate of return on noncontrolling interests, if known. </t>
  </si>
  <si>
    <t xml:space="preserve">FSAP uses the above parameters to compute the cost of capital atttributable to noncontrolling interests. </t>
  </si>
  <si>
    <t xml:space="preserve">FSAP uses the amount of preferred stock entered in the most recent balance sheet data in the Forecasts worksheet. The analyst can override this default by entering the market value of preferred stock, if known.  </t>
  </si>
  <si>
    <t>COST OF NONCONTROLLING INTERESTS' CAPITAL</t>
  </si>
  <si>
    <t>Noncontrolling interests capital</t>
  </si>
  <si>
    <t>Earnings attributable to noncontrolling interests</t>
  </si>
  <si>
    <t>Weight of noncontrolling interests in capital structure</t>
  </si>
  <si>
    <t>FSAP computes the weight of noncontrolling interests in the capital structure by dividing the book value of noncontrolling interests by the market value of total capital (common equity, debt, preferred stock, and noncontrolling interests).</t>
  </si>
  <si>
    <t>FSAP computes the weight of equity in the capital structure by dividing the market value of equity by the market value of total capital (common equity, debt, preferred stock, and noncontrolling interests).</t>
  </si>
  <si>
    <t>FSAP computes the weight of debt in the capital structure by dividing the value of debt by the market value of total capital (common equity, debt, preferred stock, and noncontrolling interests).</t>
  </si>
  <si>
    <t>FSAP computes the weight of preferred stock in the capital structure by dividing the market value of preferred by the market value of total capital (common equity, debt, preferred stock, and noncontrolling interests).</t>
  </si>
  <si>
    <t>Assume 55% payout of net income available to common shareholders.</t>
  </si>
  <si>
    <t xml:space="preserve">   Present Value of Equity</t>
  </si>
  <si>
    <t xml:space="preserve">   Sum</t>
  </si>
  <si>
    <t xml:space="preserve">   Estimated Value per Share</t>
  </si>
  <si>
    <t xml:space="preserve">   Total</t>
  </si>
  <si>
    <t>Net Cash Flow from Debt Financing</t>
  </si>
  <si>
    <t>Net Cash Flow into Financial Assets</t>
  </si>
  <si>
    <r>
      <t>Net Cash Flow</t>
    </r>
    <r>
      <rPr>
        <b/>
        <sz val="10"/>
        <rFont val="Calibri"/>
        <family val="2"/>
      </rPr>
      <t>—</t>
    </r>
    <r>
      <rPr>
        <b/>
        <sz val="10"/>
        <rFont val="Arial"/>
        <family val="2"/>
      </rPr>
      <t>Pref. Stock and Noncontrolling Interests</t>
    </r>
  </si>
  <si>
    <t xml:space="preserve">   Total Present Value Free Cash Flows to Equity</t>
  </si>
  <si>
    <t xml:space="preserve">   Total Present Value of Equity</t>
  </si>
  <si>
    <t xml:space="preserve">  Total Present Value Free Cash Flows to Equity and Debt</t>
  </si>
  <si>
    <t xml:space="preserve">   Total Present Value Dividends</t>
  </si>
  <si>
    <r>
      <t>Deferred tax liabilities</t>
    </r>
    <r>
      <rPr>
        <sz val="10"/>
        <rFont val="Calibri"/>
        <family val="2"/>
      </rPr>
      <t>—</t>
    </r>
    <r>
      <rPr>
        <sz val="10"/>
        <rFont val="Arial"/>
        <family val="2"/>
      </rPr>
      <t>noncurrent</t>
    </r>
  </si>
  <si>
    <r>
      <t>Deferred tax liabilities</t>
    </r>
    <r>
      <rPr>
        <sz val="10"/>
        <rFont val="Calibri"/>
        <family val="2"/>
      </rPr>
      <t>—</t>
    </r>
    <r>
      <rPr>
        <sz val="10"/>
        <rFont val="Arial"/>
        <family val="2"/>
      </rPr>
      <t>current</t>
    </r>
  </si>
  <si>
    <r>
      <t>Deferred tax assets</t>
    </r>
    <r>
      <rPr>
        <sz val="10"/>
        <rFont val="Calibri"/>
        <family val="2"/>
      </rPr>
      <t>—</t>
    </r>
    <r>
      <rPr>
        <sz val="10"/>
        <rFont val="Arial"/>
        <family val="2"/>
      </rPr>
      <t>non current</t>
    </r>
  </si>
  <si>
    <r>
      <t>Property, plant, and equipment</t>
    </r>
    <r>
      <rPr>
        <sz val="10"/>
        <rFont val="Calibri"/>
        <family val="2"/>
      </rPr>
      <t>—</t>
    </r>
    <r>
      <rPr>
        <sz val="10"/>
        <rFont val="Arial"/>
        <family val="2"/>
      </rPr>
      <t>at cost</t>
    </r>
  </si>
  <si>
    <r>
      <t>Deferred tax assets</t>
    </r>
    <r>
      <rPr>
        <sz val="10"/>
        <rFont val="Calibri"/>
        <family val="2"/>
      </rPr>
      <t>—</t>
    </r>
    <r>
      <rPr>
        <sz val="10"/>
        <rFont val="Arial"/>
        <family val="2"/>
      </rPr>
      <t>current</t>
    </r>
  </si>
  <si>
    <r>
      <t>Accounts and notes receivable</t>
    </r>
    <r>
      <rPr>
        <sz val="10"/>
        <rFont val="Calibri"/>
        <family val="2"/>
      </rPr>
      <t>—</t>
    </r>
    <r>
      <rPr>
        <sz val="10"/>
        <rFont val="Arial"/>
        <family val="2"/>
      </rPr>
      <t>net</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</si>
</sst>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quot;$&quot;* #,##0_);_(&quot;$&quot;* \(#,##0\);_(&quot;$&quot;* &quot;-&quot;??_);_(@_)"/>
    <numFmt numFmtId="168" formatCode="0.000"/>
    <numFmt numFmtId="169" formatCode="#,##0.0"/>
    <numFmt numFmtId="170" formatCode="_(* #,##0_);_(* \(#,##0\);_(* &quot;-&quot;??_);_(@_)"/>
    <numFmt numFmtId="171" formatCode="_(&quot;$&quot;* #,##0.0_);_(&quot;$&quot;* \(#,##0.0\);_(&quot;$&quot;* &quot;-&quot;??_);_(@_)"/>
    <numFmt numFmtId="172" formatCode="0.00000%"/>
    <numFmt numFmtId="173" formatCode="0.000_)"/>
    <numFmt numFmtId="174" formatCode="0.0000"/>
    <numFmt numFmtId="175" formatCode="0.00_)"/>
    <numFmt numFmtId="176" formatCode="0.0_)"/>
    <numFmt numFmtId="177" formatCode="0.000000"/>
    <numFmt numFmtId="178" formatCode="0.00000"/>
    <numFmt numFmtId="179" formatCode="0_)"/>
    <numFmt numFmtId="180" formatCode="#,##0.000"/>
    <numFmt numFmtId="181" formatCode="0.0000000"/>
    <numFmt numFmtId="182" formatCode="&quot;$&quot;#,##0.0"/>
    <numFmt numFmtId="183" formatCode="_(&quot;$&quot;* #,##0.000_);_(&quot;$&quot;* \(#,##0.000\);_(&quot;$&quot;* &quot;-&quot;??_);_(@_)"/>
    <numFmt numFmtId="184" formatCode="#,##0.0_);\(#,##0.0\)"/>
    <numFmt numFmtId="185" formatCode="&quot;$&quot;#,##0"/>
    <numFmt numFmtId="186" formatCode="_(&quot;$&quot;* #,##0.0_);_(&quot;$&quot;* \(#,##0.0\);_(&quot;$&quot;*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00_)"/>
    <numFmt numFmtId="193" formatCode="[$-409]dddd\,\ mmmm\ dd\,\ yyyy"/>
    <numFmt numFmtId="194" formatCode="[$-409]h:mm:ss\ AM/PM"/>
    <numFmt numFmtId="195" formatCode="#,##0.0000"/>
    <numFmt numFmtId="196" formatCode="#,##0.00000"/>
    <numFmt numFmtId="197" formatCode="#,##0.000000"/>
    <numFmt numFmtId="198" formatCode="#,##0.0000000"/>
    <numFmt numFmtId="199" formatCode="#,##0.00000000"/>
    <numFmt numFmtId="200" formatCode="#,##0.000000000"/>
    <numFmt numFmtId="201" formatCode="#,##0.0000000000"/>
    <numFmt numFmtId="202" formatCode="_(* #,##0.000_);_(* \(#,##0.000\);_(* &quot;-&quot;??_);_(@_)"/>
    <numFmt numFmtId="203" formatCode="_(* #,##0.000_);_(* \(#,##0.000\);_(* &quot;-&quot;???_);_(@_)"/>
    <numFmt numFmtId="204" formatCode="0.0000000000000000%"/>
    <numFmt numFmtId="205" formatCode="0.00000000"/>
    <numFmt numFmtId="206" formatCode="0.000000000"/>
  </numFmts>
  <fonts count="58">
    <font>
      <sz val="10"/>
      <name val="Arial"/>
      <family val="0"/>
    </font>
    <font>
      <sz val="8"/>
      <name val="Tahoma"/>
      <family val="2"/>
    </font>
    <font>
      <u val="single"/>
      <sz val="10"/>
      <color indexed="12"/>
      <name val="Arial"/>
      <family val="2"/>
    </font>
    <font>
      <u val="single"/>
      <sz val="10"/>
      <color indexed="36"/>
      <name val="Arial"/>
      <family val="2"/>
    </font>
    <font>
      <b/>
      <sz val="10"/>
      <name val="Arial"/>
      <family val="2"/>
    </font>
    <font>
      <b/>
      <sz val="10"/>
      <color indexed="12"/>
      <name val="Arial"/>
      <family val="2"/>
    </font>
    <font>
      <sz val="10"/>
      <color indexed="12"/>
      <name val="Arial"/>
      <family val="2"/>
    </font>
    <font>
      <sz val="8"/>
      <name val="Arial"/>
      <family val="2"/>
    </font>
    <font>
      <sz val="7"/>
      <name val="Arial"/>
      <family val="2"/>
    </font>
    <font>
      <sz val="10"/>
      <color indexed="48"/>
      <name val="Arial"/>
      <family val="2"/>
    </font>
    <font>
      <b/>
      <sz val="8"/>
      <name val="Arial"/>
      <family val="2"/>
    </font>
    <font>
      <b/>
      <vertAlign val="superscript"/>
      <sz val="8"/>
      <name val="Arial"/>
      <family val="2"/>
    </font>
    <font>
      <b/>
      <sz val="10"/>
      <color indexed="17"/>
      <name val="Arial"/>
      <family val="2"/>
    </font>
    <font>
      <sz val="10"/>
      <color indexed="10"/>
      <name val="Arial"/>
      <family val="2"/>
    </font>
    <font>
      <b/>
      <u val="single"/>
      <sz val="10"/>
      <name val="Arial"/>
      <family val="2"/>
    </font>
    <font>
      <b/>
      <i/>
      <sz val="10"/>
      <color indexed="12"/>
      <name val="Arial"/>
      <family val="2"/>
    </font>
    <font>
      <b/>
      <sz val="10"/>
      <color indexed="10"/>
      <name val="Arial"/>
      <family val="2"/>
    </font>
    <font>
      <b/>
      <i/>
      <sz val="10"/>
      <name val="Arial"/>
      <family val="2"/>
    </font>
    <font>
      <b/>
      <i/>
      <u val="single"/>
      <sz val="10"/>
      <name val="Arial"/>
      <family val="2"/>
    </font>
    <font>
      <sz val="8"/>
      <color indexed="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b/>
      <sz val="10"/>
      <name val="Calibri"/>
      <family val="2"/>
    </font>
    <font>
      <sz val="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rgb="FFFF0000"/>
      <name val="Arial"/>
      <family val="2"/>
    </font>
    <font>
      <b/>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medium"/>
      <top style="medium"/>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thin"/>
    </border>
    <border>
      <left>
        <color indexed="63"/>
      </left>
      <right style="medium"/>
      <top style="thin"/>
      <bottom style="double"/>
    </border>
    <border>
      <left>
        <color indexed="63"/>
      </left>
      <right style="thin"/>
      <top>
        <color indexed="63"/>
      </top>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thin"/>
    </border>
    <border>
      <left>
        <color indexed="63"/>
      </left>
      <right style="double"/>
      <top style="double"/>
      <bottom style="thin"/>
    </border>
    <border>
      <left style="double"/>
      <right style="thin"/>
      <top style="thin"/>
      <bottom style="thin"/>
    </border>
    <border>
      <left>
        <color indexed="63"/>
      </left>
      <right style="double"/>
      <top style="thin"/>
      <bottom style="thin"/>
    </border>
    <border>
      <left style="double"/>
      <right>
        <color indexed="63"/>
      </right>
      <top>
        <color indexed="63"/>
      </top>
      <bottom>
        <color indexed="63"/>
      </bottom>
    </border>
    <border>
      <left>
        <color indexed="63"/>
      </left>
      <right style="double"/>
      <top style="thin"/>
      <bottom style="double"/>
    </border>
    <border>
      <left style="double"/>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style="double"/>
      <top>
        <color indexed="63"/>
      </top>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1">
    <xf numFmtId="0" fontId="0" fillId="0" borderId="0" xfId="0" applyAlignment="1">
      <alignment/>
    </xf>
    <xf numFmtId="3" fontId="4" fillId="33" borderId="10" xfId="0" applyNumberFormat="1" applyFont="1" applyFill="1" applyBorder="1" applyAlignment="1">
      <alignment/>
    </xf>
    <xf numFmtId="3" fontId="4" fillId="33" borderId="11" xfId="0" applyNumberFormat="1" applyFont="1" applyFill="1" applyBorder="1" applyAlignment="1">
      <alignment/>
    </xf>
    <xf numFmtId="3" fontId="4" fillId="33" borderId="12" xfId="0" applyNumberFormat="1" applyFont="1" applyFill="1" applyBorder="1" applyAlignment="1">
      <alignment/>
    </xf>
    <xf numFmtId="3" fontId="0" fillId="0" borderId="13" xfId="0" applyNumberFormat="1" applyFont="1" applyBorder="1" applyAlignment="1">
      <alignment/>
    </xf>
    <xf numFmtId="3" fontId="0" fillId="33" borderId="14" xfId="0" applyNumberFormat="1" applyFont="1" applyFill="1" applyBorder="1" applyAlignment="1">
      <alignment/>
    </xf>
    <xf numFmtId="3" fontId="0" fillId="33" borderId="15" xfId="0" applyNumberFormat="1" applyFont="1" applyFill="1" applyBorder="1" applyAlignment="1">
      <alignment/>
    </xf>
    <xf numFmtId="3" fontId="0" fillId="33" borderId="16" xfId="0" applyNumberFormat="1" applyFont="1" applyFill="1" applyBorder="1" applyAlignment="1">
      <alignment/>
    </xf>
    <xf numFmtId="3" fontId="0" fillId="0" borderId="17" xfId="0" applyNumberFormat="1" applyFont="1" applyBorder="1" applyAlignment="1">
      <alignment/>
    </xf>
    <xf numFmtId="3" fontId="4" fillId="33" borderId="18" xfId="0" applyNumberFormat="1" applyFont="1" applyFill="1" applyBorder="1" applyAlignment="1">
      <alignment/>
    </xf>
    <xf numFmtId="3" fontId="0" fillId="33" borderId="0" xfId="0" applyNumberFormat="1" applyFont="1" applyFill="1" applyBorder="1" applyAlignment="1">
      <alignment/>
    </xf>
    <xf numFmtId="3" fontId="0" fillId="33" borderId="19" xfId="0" applyNumberFormat="1" applyFont="1" applyFill="1" applyBorder="1" applyAlignment="1">
      <alignment/>
    </xf>
    <xf numFmtId="3" fontId="4" fillId="33" borderId="20" xfId="0" applyNumberFormat="1" applyFont="1" applyFill="1" applyBorder="1" applyAlignment="1">
      <alignment/>
    </xf>
    <xf numFmtId="3" fontId="0" fillId="33" borderId="21" xfId="0" applyNumberFormat="1" applyFont="1" applyFill="1" applyBorder="1" applyAlignment="1">
      <alignment/>
    </xf>
    <xf numFmtId="3" fontId="0" fillId="33" borderId="22" xfId="0" applyNumberFormat="1" applyFont="1" applyFill="1" applyBorder="1" applyAlignment="1">
      <alignment/>
    </xf>
    <xf numFmtId="3" fontId="0" fillId="33" borderId="20" xfId="0" applyNumberFormat="1" applyFont="1" applyFill="1" applyBorder="1" applyAlignment="1">
      <alignment/>
    </xf>
    <xf numFmtId="3" fontId="0" fillId="0" borderId="0" xfId="0" applyNumberFormat="1" applyFont="1" applyBorder="1" applyAlignment="1">
      <alignment/>
    </xf>
    <xf numFmtId="0" fontId="0" fillId="0" borderId="0" xfId="0" applyFont="1" applyAlignment="1">
      <alignment/>
    </xf>
    <xf numFmtId="3" fontId="4" fillId="0" borderId="0" xfId="0" applyNumberFormat="1" applyFont="1" applyBorder="1" applyAlignment="1">
      <alignment/>
    </xf>
    <xf numFmtId="3" fontId="0" fillId="0" borderId="23" xfId="0" applyNumberFormat="1" applyFont="1" applyBorder="1" applyAlignment="1">
      <alignment/>
    </xf>
    <xf numFmtId="3" fontId="4" fillId="33" borderId="13" xfId="0" applyNumberFormat="1" applyFont="1" applyFill="1" applyBorder="1" applyAlignment="1">
      <alignment/>
    </xf>
    <xf numFmtId="3" fontId="5" fillId="34" borderId="24" xfId="0" applyNumberFormat="1" applyFont="1" applyFill="1" applyBorder="1" applyAlignment="1" applyProtection="1">
      <alignment/>
      <protection locked="0"/>
    </xf>
    <xf numFmtId="3" fontId="6" fillId="34" borderId="25" xfId="0" applyNumberFormat="1" applyFont="1" applyFill="1" applyBorder="1" applyAlignment="1" applyProtection="1">
      <alignment/>
      <protection locked="0"/>
    </xf>
    <xf numFmtId="3" fontId="6" fillId="34" borderId="17" xfId="0" applyNumberFormat="1" applyFont="1" applyFill="1" applyBorder="1" applyAlignment="1" applyProtection="1">
      <alignment/>
      <protection locked="0"/>
    </xf>
    <xf numFmtId="1" fontId="5" fillId="34" borderId="13" xfId="0" applyNumberFormat="1" applyFont="1" applyFill="1" applyBorder="1" applyAlignment="1" applyProtection="1">
      <alignment/>
      <protection locked="0"/>
    </xf>
    <xf numFmtId="3" fontId="4" fillId="0" borderId="13" xfId="0" applyNumberFormat="1" applyFont="1" applyFill="1" applyBorder="1" applyAlignment="1">
      <alignment/>
    </xf>
    <xf numFmtId="3" fontId="0" fillId="0" borderId="13" xfId="0" applyNumberFormat="1" applyFont="1" applyFill="1" applyBorder="1" applyAlignment="1" applyProtection="1">
      <alignment/>
      <protection locked="0"/>
    </xf>
    <xf numFmtId="3" fontId="4" fillId="0" borderId="13" xfId="0" applyNumberFormat="1" applyFont="1" applyBorder="1" applyAlignment="1">
      <alignment/>
    </xf>
    <xf numFmtId="3" fontId="5" fillId="34" borderId="13" xfId="42" applyNumberFormat="1" applyFont="1" applyFill="1" applyBorder="1" applyAlignment="1" applyProtection="1">
      <alignment/>
      <protection locked="0"/>
    </xf>
    <xf numFmtId="3" fontId="5" fillId="34" borderId="13" xfId="0" applyNumberFormat="1" applyFont="1" applyFill="1" applyBorder="1" applyAlignment="1">
      <alignment/>
    </xf>
    <xf numFmtId="3" fontId="5" fillId="34" borderId="13" xfId="0" applyNumberFormat="1" applyFont="1" applyFill="1" applyBorder="1" applyAlignment="1" applyProtection="1">
      <alignment/>
      <protection locked="0"/>
    </xf>
    <xf numFmtId="3" fontId="4" fillId="35" borderId="13" xfId="0" applyNumberFormat="1" applyFont="1" applyFill="1" applyBorder="1" applyAlignment="1">
      <alignment/>
    </xf>
    <xf numFmtId="3" fontId="4" fillId="35" borderId="13" xfId="0" applyNumberFormat="1" applyFont="1" applyFill="1" applyBorder="1" applyAlignment="1" applyProtection="1">
      <alignment/>
      <protection locked="0"/>
    </xf>
    <xf numFmtId="164" fontId="0" fillId="0" borderId="13" xfId="59" applyNumberFormat="1" applyFont="1" applyBorder="1" applyAlignment="1">
      <alignment/>
    </xf>
    <xf numFmtId="3" fontId="0" fillId="0" borderId="13" xfId="0" applyNumberFormat="1" applyFont="1" applyFill="1" applyBorder="1" applyAlignment="1">
      <alignment/>
    </xf>
    <xf numFmtId="3" fontId="5" fillId="0" borderId="13" xfId="42" applyNumberFormat="1" applyFont="1" applyFill="1" applyBorder="1" applyAlignment="1" applyProtection="1">
      <alignment/>
      <protection locked="0"/>
    </xf>
    <xf numFmtId="3" fontId="0" fillId="0" borderId="13" xfId="0" applyNumberFormat="1" applyFont="1" applyBorder="1" applyAlignment="1" applyProtection="1">
      <alignment/>
      <protection locked="0"/>
    </xf>
    <xf numFmtId="1" fontId="4" fillId="0" borderId="13" xfId="0" applyNumberFormat="1" applyFont="1" applyBorder="1" applyAlignment="1" applyProtection="1">
      <alignment/>
      <protection locked="0"/>
    </xf>
    <xf numFmtId="3" fontId="4" fillId="35" borderId="13" xfId="42" applyNumberFormat="1" applyFont="1" applyFill="1" applyBorder="1" applyAlignment="1" applyProtection="1">
      <alignment/>
      <protection locked="0"/>
    </xf>
    <xf numFmtId="10" fontId="0" fillId="0" borderId="13" xfId="59" applyNumberFormat="1" applyFont="1" applyBorder="1" applyAlignment="1">
      <alignment/>
    </xf>
    <xf numFmtId="164" fontId="5" fillId="34" borderId="13" xfId="59" applyNumberFormat="1" applyFont="1" applyFill="1" applyBorder="1" applyAlignment="1" applyProtection="1">
      <alignment/>
      <protection locked="0"/>
    </xf>
    <xf numFmtId="164" fontId="4" fillId="0" borderId="13" xfId="59" applyNumberFormat="1" applyFont="1" applyFill="1" applyBorder="1" applyAlignment="1" applyProtection="1">
      <alignment/>
      <protection locked="0"/>
    </xf>
    <xf numFmtId="3" fontId="4" fillId="0" borderId="13" xfId="42" applyNumberFormat="1" applyFont="1" applyFill="1" applyBorder="1" applyAlignment="1" applyProtection="1">
      <alignment/>
      <protection locked="0"/>
    </xf>
    <xf numFmtId="4" fontId="5" fillId="34" borderId="13" xfId="42" applyNumberFormat="1" applyFont="1" applyFill="1" applyBorder="1" applyAlignment="1" applyProtection="1">
      <alignment/>
      <protection locked="0"/>
    </xf>
    <xf numFmtId="3" fontId="4" fillId="35" borderId="13" xfId="0" applyNumberFormat="1" applyFont="1" applyFill="1" applyBorder="1" applyAlignment="1" applyProtection="1">
      <alignment/>
      <protection hidden="1"/>
    </xf>
    <xf numFmtId="3" fontId="0" fillId="35" borderId="13" xfId="0" applyNumberFormat="1" applyFont="1" applyFill="1" applyBorder="1" applyAlignment="1" applyProtection="1">
      <alignment/>
      <protection hidden="1"/>
    </xf>
    <xf numFmtId="9" fontId="0" fillId="0" borderId="13" xfId="59" applyFont="1" applyBorder="1" applyAlignment="1">
      <alignment/>
    </xf>
    <xf numFmtId="0" fontId="0" fillId="0" borderId="0" xfId="0" applyFont="1" applyFill="1" applyAlignment="1">
      <alignment/>
    </xf>
    <xf numFmtId="0" fontId="0" fillId="0" borderId="15" xfId="0" applyFont="1" applyFill="1" applyBorder="1" applyAlignment="1">
      <alignment/>
    </xf>
    <xf numFmtId="0" fontId="0" fillId="0" borderId="0" xfId="0" applyFont="1" applyFill="1" applyBorder="1" applyAlignment="1">
      <alignment/>
    </xf>
    <xf numFmtId="3" fontId="0" fillId="0" borderId="15" xfId="0" applyNumberFormat="1" applyFont="1" applyBorder="1" applyAlignment="1">
      <alignment/>
    </xf>
    <xf numFmtId="0" fontId="0" fillId="0" borderId="0" xfId="0" applyFont="1" applyBorder="1" applyAlignment="1">
      <alignment/>
    </xf>
    <xf numFmtId="0" fontId="4" fillId="33" borderId="26" xfId="0" applyFont="1" applyFill="1" applyBorder="1" applyAlignment="1">
      <alignment/>
    </xf>
    <xf numFmtId="0" fontId="4" fillId="33" borderId="15" xfId="0" applyFont="1" applyFill="1" applyBorder="1" applyAlignment="1">
      <alignment/>
    </xf>
    <xf numFmtId="0" fontId="4" fillId="33" borderId="12" xfId="0" applyFont="1" applyFill="1" applyBorder="1" applyAlignment="1">
      <alignment/>
    </xf>
    <xf numFmtId="0" fontId="4" fillId="33" borderId="27" xfId="0" applyFont="1" applyFill="1" applyBorder="1" applyAlignment="1">
      <alignment/>
    </xf>
    <xf numFmtId="0" fontId="4" fillId="33" borderId="28"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0" fontId="0" fillId="0" borderId="23" xfId="0" applyFont="1" applyFill="1" applyBorder="1" applyAlignment="1">
      <alignment/>
    </xf>
    <xf numFmtId="0" fontId="4" fillId="36" borderId="30" xfId="0" applyFont="1" applyFill="1" applyBorder="1" applyAlignment="1">
      <alignment/>
    </xf>
    <xf numFmtId="0" fontId="0" fillId="36" borderId="0" xfId="0" applyFont="1" applyFill="1" applyBorder="1" applyAlignment="1">
      <alignment/>
    </xf>
    <xf numFmtId="0" fontId="0" fillId="36" borderId="31" xfId="0" applyFont="1" applyFill="1" applyBorder="1" applyAlignment="1">
      <alignment/>
    </xf>
    <xf numFmtId="3" fontId="0" fillId="37" borderId="13" xfId="0" applyNumberFormat="1" applyFont="1" applyFill="1" applyBorder="1" applyAlignment="1">
      <alignment/>
    </xf>
    <xf numFmtId="0" fontId="0" fillId="37" borderId="13" xfId="0" applyFont="1" applyFill="1" applyBorder="1" applyAlignment="1">
      <alignment/>
    </xf>
    <xf numFmtId="3" fontId="0" fillId="37" borderId="32" xfId="0" applyNumberFormat="1" applyFont="1" applyFill="1" applyBorder="1" applyAlignment="1">
      <alignment/>
    </xf>
    <xf numFmtId="0" fontId="4" fillId="36" borderId="33" xfId="0" applyFon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6" borderId="36" xfId="0" applyFont="1" applyFill="1" applyBorder="1" applyAlignment="1">
      <alignment/>
    </xf>
    <xf numFmtId="0" fontId="4" fillId="36" borderId="0" xfId="0" applyFont="1" applyFill="1" applyBorder="1" applyAlignment="1">
      <alignment/>
    </xf>
    <xf numFmtId="0" fontId="0" fillId="36" borderId="21" xfId="0" applyFont="1" applyFill="1" applyBorder="1" applyAlignment="1">
      <alignment/>
    </xf>
    <xf numFmtId="0" fontId="4" fillId="33" borderId="14" xfId="0" applyFont="1" applyFill="1" applyBorder="1" applyAlignment="1">
      <alignment/>
    </xf>
    <xf numFmtId="0" fontId="0" fillId="33" borderId="15" xfId="0" applyFont="1" applyFill="1" applyBorder="1" applyAlignment="1">
      <alignment/>
    </xf>
    <xf numFmtId="0" fontId="0" fillId="33" borderId="19" xfId="0" applyFont="1" applyFill="1" applyBorder="1" applyAlignment="1">
      <alignment/>
    </xf>
    <xf numFmtId="0" fontId="4" fillId="0" borderId="0" xfId="0" applyFont="1" applyFill="1" applyAlignment="1">
      <alignment/>
    </xf>
    <xf numFmtId="0" fontId="4" fillId="33" borderId="37" xfId="0" applyFont="1" applyFill="1" applyBorder="1" applyAlignment="1">
      <alignment/>
    </xf>
    <xf numFmtId="1" fontId="4" fillId="33" borderId="37" xfId="0" applyNumberFormat="1" applyFont="1" applyFill="1" applyBorder="1" applyAlignment="1">
      <alignment/>
    </xf>
    <xf numFmtId="0" fontId="0" fillId="36" borderId="38" xfId="0" applyFont="1" applyFill="1" applyBorder="1" applyAlignment="1">
      <alignment/>
    </xf>
    <xf numFmtId="0" fontId="4" fillId="36" borderId="0" xfId="0" applyFont="1" applyFill="1" applyAlignment="1">
      <alignment/>
    </xf>
    <xf numFmtId="0" fontId="0" fillId="36" borderId="0" xfId="0" applyFont="1" applyFill="1" applyAlignment="1">
      <alignment/>
    </xf>
    <xf numFmtId="0" fontId="0" fillId="0" borderId="13" xfId="0" applyFont="1" applyBorder="1" applyAlignment="1">
      <alignment/>
    </xf>
    <xf numFmtId="164" fontId="4" fillId="0" borderId="13" xfId="0" applyNumberFormat="1" applyFont="1" applyBorder="1" applyAlignment="1">
      <alignment/>
    </xf>
    <xf numFmtId="165" fontId="4" fillId="0" borderId="13" xfId="0" applyNumberFormat="1" applyFont="1" applyBorder="1" applyAlignment="1">
      <alignment/>
    </xf>
    <xf numFmtId="0" fontId="0" fillId="0" borderId="13" xfId="0" applyFont="1" applyBorder="1" applyAlignment="1" quotePrefix="1">
      <alignment/>
    </xf>
    <xf numFmtId="0" fontId="0" fillId="0" borderId="0" xfId="0" applyFont="1" applyBorder="1" applyAlignment="1" quotePrefix="1">
      <alignment/>
    </xf>
    <xf numFmtId="164" fontId="4" fillId="0" borderId="0" xfId="0" applyNumberFormat="1" applyFont="1" applyBorder="1" applyAlignment="1">
      <alignment/>
    </xf>
    <xf numFmtId="164" fontId="4" fillId="0" borderId="38" xfId="0" applyNumberFormat="1" applyFont="1" applyBorder="1" applyAlignment="1">
      <alignment/>
    </xf>
    <xf numFmtId="0" fontId="4" fillId="0" borderId="31" xfId="0" applyFont="1" applyFill="1" applyBorder="1" applyAlignment="1">
      <alignment/>
    </xf>
    <xf numFmtId="0" fontId="0" fillId="0" borderId="13" xfId="0" applyFont="1" applyFill="1" applyBorder="1" applyAlignment="1">
      <alignment/>
    </xf>
    <xf numFmtId="164" fontId="4" fillId="0" borderId="13" xfId="0" applyNumberFormat="1" applyFont="1" applyFill="1" applyBorder="1" applyAlignment="1">
      <alignment/>
    </xf>
    <xf numFmtId="165" fontId="4" fillId="0" borderId="13" xfId="0" applyNumberFormat="1" applyFont="1" applyFill="1" applyBorder="1" applyAlignment="1">
      <alignment/>
    </xf>
    <xf numFmtId="0" fontId="0" fillId="0" borderId="13" xfId="0" applyFont="1" applyFill="1" applyBorder="1" applyAlignment="1" quotePrefix="1">
      <alignment/>
    </xf>
    <xf numFmtId="0" fontId="0" fillId="0" borderId="0" xfId="0" applyFont="1" applyFill="1" applyAlignment="1" quotePrefix="1">
      <alignment/>
    </xf>
    <xf numFmtId="0" fontId="4" fillId="0" borderId="38" xfId="0" applyFont="1" applyFill="1" applyBorder="1" applyAlignment="1">
      <alignment/>
    </xf>
    <xf numFmtId="0" fontId="4" fillId="36" borderId="38" xfId="0" applyFont="1" applyFill="1" applyBorder="1" applyAlignment="1">
      <alignment/>
    </xf>
    <xf numFmtId="0" fontId="0" fillId="36" borderId="0" xfId="0" applyFont="1" applyFill="1" applyAlignment="1" quotePrefix="1">
      <alignment/>
    </xf>
    <xf numFmtId="0" fontId="4" fillId="0" borderId="0" xfId="0" applyFont="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xf>
    <xf numFmtId="165" fontId="0" fillId="0" borderId="0" xfId="0" applyNumberFormat="1" applyFont="1" applyBorder="1" applyAlignment="1">
      <alignment/>
    </xf>
    <xf numFmtId="0" fontId="4" fillId="0" borderId="13" xfId="0" applyFont="1" applyFill="1" applyBorder="1" applyAlignment="1">
      <alignment/>
    </xf>
    <xf numFmtId="0" fontId="4" fillId="0" borderId="13" xfId="0" applyFont="1" applyBorder="1" applyAlignment="1">
      <alignment/>
    </xf>
    <xf numFmtId="0" fontId="4" fillId="33" borderId="33"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2" fontId="4" fillId="0" borderId="13" xfId="0" applyNumberFormat="1" applyFont="1" applyBorder="1" applyAlignment="1">
      <alignment/>
    </xf>
    <xf numFmtId="1" fontId="4" fillId="0" borderId="13" xfId="0" applyNumberFormat="1" applyFont="1" applyBorder="1" applyAlignment="1">
      <alignment/>
    </xf>
    <xf numFmtId="165" fontId="0" fillId="0" borderId="0" xfId="0" applyNumberFormat="1" applyFont="1" applyFill="1" applyAlignment="1">
      <alignment/>
    </xf>
    <xf numFmtId="0" fontId="4" fillId="0" borderId="0" xfId="0" applyFont="1" applyAlignment="1">
      <alignment/>
    </xf>
    <xf numFmtId="10" fontId="4" fillId="0" borderId="13" xfId="59" applyNumberFormat="1" applyFont="1" applyBorder="1" applyAlignment="1">
      <alignment/>
    </xf>
    <xf numFmtId="164" fontId="4" fillId="0" borderId="13" xfId="59" applyNumberFormat="1" applyFont="1" applyBorder="1" applyAlignment="1">
      <alignment/>
    </xf>
    <xf numFmtId="10" fontId="4" fillId="0" borderId="0" xfId="59" applyNumberFormat="1" applyFont="1" applyBorder="1" applyAlignment="1">
      <alignment/>
    </xf>
    <xf numFmtId="164" fontId="0" fillId="0" borderId="13" xfId="0" applyNumberFormat="1" applyFont="1" applyBorder="1" applyAlignment="1">
      <alignment/>
    </xf>
    <xf numFmtId="164" fontId="0" fillId="0" borderId="0" xfId="0" applyNumberFormat="1" applyFont="1" applyFill="1" applyAlignment="1">
      <alignment/>
    </xf>
    <xf numFmtId="0" fontId="7" fillId="36" borderId="0" xfId="0" applyFont="1" applyFill="1" applyAlignment="1">
      <alignment horizontal="center"/>
    </xf>
    <xf numFmtId="0" fontId="8" fillId="36" borderId="0" xfId="0" applyFont="1" applyFill="1" applyAlignment="1">
      <alignment horizontal="center"/>
    </xf>
    <xf numFmtId="0" fontId="8" fillId="36" borderId="0" xfId="0" applyFont="1" applyFill="1" applyAlignment="1">
      <alignment/>
    </xf>
    <xf numFmtId="0" fontId="7" fillId="36" borderId="0" xfId="0" applyFont="1" applyFill="1" applyAlignment="1">
      <alignment horizontal="left"/>
    </xf>
    <xf numFmtId="0" fontId="7" fillId="36" borderId="0" xfId="0" applyFont="1" applyFill="1" applyAlignment="1">
      <alignment/>
    </xf>
    <xf numFmtId="164" fontId="0" fillId="0" borderId="0" xfId="59" applyNumberFormat="1" applyFont="1" applyBorder="1" applyAlignment="1">
      <alignment/>
    </xf>
    <xf numFmtId="0" fontId="0" fillId="0" borderId="21" xfId="0" applyFont="1" applyBorder="1" applyAlignment="1">
      <alignment/>
    </xf>
    <xf numFmtId="164" fontId="0" fillId="0" borderId="21" xfId="59" applyNumberFormat="1" applyFont="1" applyBorder="1" applyAlignment="1">
      <alignment/>
    </xf>
    <xf numFmtId="0" fontId="4" fillId="33" borderId="20"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36" borderId="13" xfId="0" applyFont="1" applyFill="1" applyBorder="1" applyAlignment="1">
      <alignment/>
    </xf>
    <xf numFmtId="164" fontId="0" fillId="0" borderId="13" xfId="0" applyNumberFormat="1" applyFont="1" applyBorder="1" applyAlignment="1">
      <alignment horizontal="right"/>
    </xf>
    <xf numFmtId="164" fontId="0" fillId="0" borderId="0" xfId="0" applyNumberFormat="1" applyFont="1" applyAlignment="1">
      <alignment/>
    </xf>
    <xf numFmtId="2" fontId="0" fillId="0" borderId="0" xfId="0" applyNumberFormat="1" applyFont="1" applyFill="1" applyAlignment="1">
      <alignment/>
    </xf>
    <xf numFmtId="165" fontId="0" fillId="0" borderId="0" xfId="0" applyNumberFormat="1" applyFont="1" applyAlignment="1">
      <alignment/>
    </xf>
    <xf numFmtId="164" fontId="4" fillId="0" borderId="13" xfId="0" applyNumberFormat="1" applyFont="1" applyBorder="1" applyAlignment="1">
      <alignment horizontal="right"/>
    </xf>
    <xf numFmtId="164" fontId="0" fillId="0" borderId="0" xfId="0" applyNumberFormat="1" applyFont="1" applyBorder="1" applyAlignment="1">
      <alignment horizontal="right"/>
    </xf>
    <xf numFmtId="0" fontId="0" fillId="33" borderId="34" xfId="0" applyFont="1" applyFill="1" applyBorder="1" applyAlignment="1">
      <alignment horizontal="right"/>
    </xf>
    <xf numFmtId="0" fontId="0" fillId="33" borderId="35" xfId="0" applyFont="1" applyFill="1" applyBorder="1" applyAlignment="1">
      <alignment horizontal="right"/>
    </xf>
    <xf numFmtId="0" fontId="8" fillId="36" borderId="0" xfId="0" applyFont="1" applyFill="1" applyAlignment="1">
      <alignment horizontal="right"/>
    </xf>
    <xf numFmtId="0" fontId="0" fillId="36" borderId="0" xfId="0" applyFont="1" applyFill="1" applyAlignment="1">
      <alignment horizontal="right"/>
    </xf>
    <xf numFmtId="0" fontId="0" fillId="36" borderId="0" xfId="0" applyFont="1" applyFill="1" applyBorder="1" applyAlignment="1">
      <alignment horizontal="right"/>
    </xf>
    <xf numFmtId="0" fontId="7" fillId="36" borderId="0" xfId="0" applyFont="1" applyFill="1" applyAlignment="1">
      <alignment horizontal="right"/>
    </xf>
    <xf numFmtId="3" fontId="4" fillId="36" borderId="0" xfId="0" applyNumberFormat="1" applyFont="1" applyFill="1" applyAlignment="1">
      <alignment/>
    </xf>
    <xf numFmtId="0" fontId="0" fillId="0" borderId="24" xfId="0" applyFont="1" applyBorder="1" applyAlignment="1">
      <alignment/>
    </xf>
    <xf numFmtId="164" fontId="0" fillId="36" borderId="0" xfId="0" applyNumberFormat="1" applyFont="1" applyFill="1" applyBorder="1" applyAlignment="1">
      <alignment/>
    </xf>
    <xf numFmtId="0" fontId="4" fillId="36" borderId="18" xfId="0" applyFont="1" applyFill="1" applyBorder="1" applyAlignment="1">
      <alignment/>
    </xf>
    <xf numFmtId="0" fontId="0" fillId="36" borderId="19" xfId="0" applyFont="1" applyFill="1" applyBorder="1" applyAlignment="1">
      <alignment/>
    </xf>
    <xf numFmtId="0" fontId="9" fillId="36" borderId="18" xfId="0" applyFont="1" applyFill="1" applyBorder="1" applyAlignment="1">
      <alignment/>
    </xf>
    <xf numFmtId="0" fontId="4" fillId="36" borderId="18" xfId="0" applyFont="1" applyFill="1" applyBorder="1" applyAlignment="1">
      <alignment horizontal="right"/>
    </xf>
    <xf numFmtId="0" fontId="4" fillId="36" borderId="23" xfId="0" applyFont="1" applyFill="1" applyBorder="1" applyAlignment="1">
      <alignment horizontal="center"/>
    </xf>
    <xf numFmtId="0" fontId="0" fillId="36" borderId="23" xfId="0" applyFont="1" applyFill="1" applyBorder="1" applyAlignment="1">
      <alignment/>
    </xf>
    <xf numFmtId="0" fontId="0" fillId="0" borderId="18" xfId="0" applyFont="1" applyBorder="1" applyAlignment="1">
      <alignment/>
    </xf>
    <xf numFmtId="1" fontId="4" fillId="36" borderId="0" xfId="0" applyNumberFormat="1" applyFont="1" applyFill="1" applyBorder="1" applyAlignment="1">
      <alignment horizontal="right"/>
    </xf>
    <xf numFmtId="0" fontId="0" fillId="36" borderId="18" xfId="0" applyFont="1" applyFill="1" applyBorder="1" applyAlignment="1">
      <alignment horizontal="right"/>
    </xf>
    <xf numFmtId="164" fontId="0" fillId="0" borderId="0" xfId="0" applyNumberFormat="1" applyFont="1" applyFill="1" applyBorder="1" applyAlignment="1">
      <alignment horizontal="right"/>
    </xf>
    <xf numFmtId="0" fontId="4" fillId="36" borderId="0" xfId="0" applyFont="1" applyFill="1" applyBorder="1" applyAlignment="1">
      <alignment horizontal="right"/>
    </xf>
    <xf numFmtId="165" fontId="0" fillId="36" borderId="0" xfId="0" applyNumberFormat="1" applyFont="1" applyFill="1" applyBorder="1" applyAlignment="1">
      <alignment horizontal="right"/>
    </xf>
    <xf numFmtId="0" fontId="10" fillId="36" borderId="19" xfId="0" applyFont="1" applyFill="1" applyBorder="1" applyAlignment="1">
      <alignment/>
    </xf>
    <xf numFmtId="0" fontId="10" fillId="36" borderId="18" xfId="0" applyFont="1" applyFill="1" applyBorder="1" applyAlignment="1">
      <alignment horizontal="right"/>
    </xf>
    <xf numFmtId="164" fontId="0" fillId="36" borderId="0" xfId="0" applyNumberFormat="1" applyFont="1" applyFill="1" applyBorder="1" applyAlignment="1">
      <alignment horizontal="right"/>
    </xf>
    <xf numFmtId="0" fontId="0" fillId="0" borderId="19" xfId="0" applyFont="1" applyBorder="1" applyAlignment="1">
      <alignment/>
    </xf>
    <xf numFmtId="0" fontId="10" fillId="0" borderId="18" xfId="0" applyFont="1" applyFill="1" applyBorder="1" applyAlignment="1">
      <alignment horizontal="right"/>
    </xf>
    <xf numFmtId="0" fontId="11" fillId="36" borderId="18" xfId="0" applyFont="1" applyFill="1" applyBorder="1" applyAlignment="1">
      <alignment horizontal="right"/>
    </xf>
    <xf numFmtId="0" fontId="10" fillId="0" borderId="18" xfId="0" applyFont="1" applyBorder="1" applyAlignment="1">
      <alignment/>
    </xf>
    <xf numFmtId="3" fontId="0" fillId="36" borderId="0" xfId="0" applyNumberFormat="1" applyFont="1" applyFill="1" applyBorder="1" applyAlignment="1">
      <alignment/>
    </xf>
    <xf numFmtId="164" fontId="0" fillId="36" borderId="0" xfId="59" applyNumberFormat="1" applyFont="1" applyFill="1" applyBorder="1" applyAlignment="1">
      <alignment/>
    </xf>
    <xf numFmtId="0" fontId="0" fillId="36" borderId="18" xfId="0" applyFont="1" applyFill="1" applyBorder="1" applyAlignment="1">
      <alignment/>
    </xf>
    <xf numFmtId="0" fontId="0" fillId="0" borderId="23" xfId="0" applyFont="1" applyBorder="1" applyAlignment="1">
      <alignment/>
    </xf>
    <xf numFmtId="166" fontId="0" fillId="36" borderId="0" xfId="42" applyNumberFormat="1" applyFont="1" applyFill="1" applyBorder="1" applyAlignment="1">
      <alignment horizontal="right"/>
    </xf>
    <xf numFmtId="166" fontId="0" fillId="36" borderId="0" xfId="42" applyNumberFormat="1" applyFont="1" applyFill="1" applyBorder="1" applyAlignment="1">
      <alignment/>
    </xf>
    <xf numFmtId="165" fontId="0" fillId="36" borderId="19" xfId="0" applyNumberFormat="1" applyFont="1" applyFill="1" applyBorder="1" applyAlignment="1">
      <alignment/>
    </xf>
    <xf numFmtId="0" fontId="0" fillId="36" borderId="20" xfId="0" applyFont="1" applyFill="1" applyBorder="1" applyAlignment="1">
      <alignment/>
    </xf>
    <xf numFmtId="0" fontId="0" fillId="36" borderId="22" xfId="0" applyFont="1" applyFill="1" applyBorder="1" applyAlignment="1">
      <alignment/>
    </xf>
    <xf numFmtId="0" fontId="0" fillId="0" borderId="0" xfId="0" applyFont="1" applyFill="1" applyBorder="1" applyAlignment="1">
      <alignment horizontal="right"/>
    </xf>
    <xf numFmtId="1" fontId="4" fillId="0" borderId="0" xfId="0" applyNumberFormat="1" applyFont="1" applyFill="1" applyBorder="1" applyAlignment="1">
      <alignment/>
    </xf>
    <xf numFmtId="0" fontId="7" fillId="0" borderId="0" xfId="0" applyFont="1" applyFill="1" applyBorder="1" applyAlignment="1">
      <alignment horizontal="right"/>
    </xf>
    <xf numFmtId="3" fontId="0" fillId="0" borderId="13" xfId="0" applyNumberFormat="1" applyFont="1" applyBorder="1" applyAlignment="1">
      <alignment horizontal="right"/>
    </xf>
    <xf numFmtId="3" fontId="4" fillId="0" borderId="13" xfId="0" applyNumberFormat="1" applyFont="1" applyBorder="1" applyAlignment="1">
      <alignment horizontal="right"/>
    </xf>
    <xf numFmtId="164" fontId="4" fillId="0" borderId="0" xfId="0" applyNumberFormat="1" applyFont="1" applyFill="1" applyBorder="1" applyAlignment="1">
      <alignment horizontal="right"/>
    </xf>
    <xf numFmtId="3" fontId="4" fillId="33" borderId="39" xfId="0" applyNumberFormat="1" applyFont="1" applyFill="1" applyBorder="1" applyAlignment="1">
      <alignment/>
    </xf>
    <xf numFmtId="0" fontId="0" fillId="33" borderId="11" xfId="0" applyFont="1" applyFill="1" applyBorder="1" applyAlignment="1">
      <alignment/>
    </xf>
    <xf numFmtId="0" fontId="0" fillId="33" borderId="40" xfId="0" applyFont="1" applyFill="1" applyBorder="1" applyAlignment="1">
      <alignment/>
    </xf>
    <xf numFmtId="0" fontId="0" fillId="33" borderId="0" xfId="0" applyFont="1" applyFill="1" applyBorder="1" applyAlignment="1">
      <alignment/>
    </xf>
    <xf numFmtId="0" fontId="0" fillId="0" borderId="0" xfId="0" applyNumberFormat="1" applyFont="1" applyAlignment="1">
      <alignment/>
    </xf>
    <xf numFmtId="0" fontId="4" fillId="33" borderId="24" xfId="0" applyFont="1" applyFill="1" applyBorder="1" applyAlignment="1" applyProtection="1">
      <alignment horizontal="left"/>
      <protection/>
    </xf>
    <xf numFmtId="0" fontId="4" fillId="33" borderId="25" xfId="0" applyFont="1" applyFill="1" applyBorder="1" applyAlignment="1" applyProtection="1">
      <alignment/>
      <protection/>
    </xf>
    <xf numFmtId="0" fontId="0" fillId="33" borderId="25" xfId="0" applyFont="1" applyFill="1" applyBorder="1" applyAlignment="1" applyProtection="1">
      <alignment/>
      <protection/>
    </xf>
    <xf numFmtId="0" fontId="4" fillId="33" borderId="25" xfId="0" applyFont="1" applyFill="1" applyBorder="1" applyAlignment="1">
      <alignment/>
    </xf>
    <xf numFmtId="0" fontId="0" fillId="33" borderId="25" xfId="0" applyFont="1" applyFill="1" applyBorder="1" applyAlignment="1">
      <alignment/>
    </xf>
    <xf numFmtId="0" fontId="0" fillId="33" borderId="17" xfId="0" applyFont="1" applyFill="1" applyBorder="1" applyAlignment="1">
      <alignment/>
    </xf>
    <xf numFmtId="0" fontId="4" fillId="38" borderId="13" xfId="0" applyFont="1" applyFill="1" applyBorder="1" applyAlignment="1" applyProtection="1">
      <alignment horizontal="left"/>
      <protection/>
    </xf>
    <xf numFmtId="0" fontId="4" fillId="38" borderId="24" xfId="0" applyFont="1" applyFill="1" applyBorder="1" applyAlignment="1" applyProtection="1">
      <alignment/>
      <protection/>
    </xf>
    <xf numFmtId="0" fontId="0" fillId="38" borderId="25" xfId="0" applyFont="1" applyFill="1" applyBorder="1" applyAlignment="1" applyProtection="1">
      <alignment/>
      <protection/>
    </xf>
    <xf numFmtId="0" fontId="4" fillId="38" borderId="25" xfId="0" applyFont="1" applyFill="1" applyBorder="1" applyAlignment="1" applyProtection="1">
      <alignment/>
      <protection/>
    </xf>
    <xf numFmtId="0" fontId="0" fillId="38" borderId="25" xfId="0" applyFont="1" applyFill="1" applyBorder="1" applyAlignment="1">
      <alignment/>
    </xf>
    <xf numFmtId="0" fontId="0" fillId="38" borderId="17" xfId="0" applyFont="1" applyFill="1" applyBorder="1" applyAlignment="1">
      <alignment/>
    </xf>
    <xf numFmtId="0" fontId="0" fillId="39" borderId="0" xfId="0" applyFont="1" applyFill="1" applyBorder="1" applyAlignment="1" applyProtection="1">
      <alignment/>
      <protection/>
    </xf>
    <xf numFmtId="0" fontId="0" fillId="39" borderId="0" xfId="0" applyFont="1" applyFill="1" applyBorder="1" applyAlignment="1">
      <alignment/>
    </xf>
    <xf numFmtId="0" fontId="4" fillId="39" borderId="0" xfId="0" applyFont="1" applyFill="1" applyBorder="1" applyAlignment="1" applyProtection="1">
      <alignment/>
      <protection/>
    </xf>
    <xf numFmtId="0" fontId="4" fillId="39" borderId="0" xfId="0" applyFont="1" applyFill="1" applyBorder="1" applyAlignment="1">
      <alignment/>
    </xf>
    <xf numFmtId="0" fontId="5" fillId="39" borderId="0" xfId="0" applyFont="1" applyFill="1" applyBorder="1" applyAlignment="1">
      <alignment/>
    </xf>
    <xf numFmtId="0" fontId="4" fillId="39" borderId="0" xfId="0" applyFont="1" applyFill="1" applyBorder="1" applyAlignment="1">
      <alignment horizontal="right"/>
    </xf>
    <xf numFmtId="0" fontId="6" fillId="39" borderId="0" xfId="0" applyFont="1" applyFill="1" applyBorder="1" applyAlignment="1">
      <alignment/>
    </xf>
    <xf numFmtId="0" fontId="0" fillId="39" borderId="0" xfId="0" applyFont="1" applyFill="1" applyBorder="1" applyAlignment="1">
      <alignment horizontal="right"/>
    </xf>
    <xf numFmtId="164" fontId="5" fillId="34" borderId="13" xfId="59" applyNumberFormat="1" applyFont="1" applyFill="1" applyBorder="1" applyAlignment="1">
      <alignment/>
    </xf>
    <xf numFmtId="164" fontId="0" fillId="0" borderId="13" xfId="0" applyNumberFormat="1" applyFont="1" applyFill="1" applyBorder="1" applyAlignment="1">
      <alignment/>
    </xf>
    <xf numFmtId="0" fontId="0" fillId="36" borderId="0" xfId="0" applyFont="1" applyFill="1" applyBorder="1" applyAlignment="1" applyProtection="1">
      <alignment/>
      <protection/>
    </xf>
    <xf numFmtId="0" fontId="12" fillId="36" borderId="41" xfId="0" applyFont="1" applyFill="1" applyBorder="1" applyAlignment="1" applyProtection="1">
      <alignment/>
      <protection/>
    </xf>
    <xf numFmtId="0" fontId="0" fillId="36" borderId="41" xfId="0" applyFont="1" applyFill="1" applyBorder="1" applyAlignment="1" applyProtection="1">
      <alignment/>
      <protection/>
    </xf>
    <xf numFmtId="0" fontId="0" fillId="36" borderId="41" xfId="0" applyFont="1" applyFill="1" applyBorder="1" applyAlignment="1">
      <alignment/>
    </xf>
    <xf numFmtId="0" fontId="4" fillId="33" borderId="23" xfId="0" applyFont="1" applyFill="1" applyBorder="1" applyAlignment="1" applyProtection="1">
      <alignment/>
      <protection/>
    </xf>
    <xf numFmtId="0" fontId="0" fillId="33" borderId="23" xfId="0" applyFont="1" applyFill="1" applyBorder="1" applyAlignment="1" applyProtection="1">
      <alignment/>
      <protection/>
    </xf>
    <xf numFmtId="0" fontId="4" fillId="34" borderId="23" xfId="0" applyFont="1" applyFill="1" applyBorder="1" applyAlignment="1">
      <alignment/>
    </xf>
    <xf numFmtId="0" fontId="0" fillId="34" borderId="23" xfId="0" applyFont="1" applyFill="1" applyBorder="1" applyAlignment="1">
      <alignment/>
    </xf>
    <xf numFmtId="0" fontId="4" fillId="36" borderId="0" xfId="0" applyFont="1" applyFill="1" applyBorder="1" applyAlignment="1" applyProtection="1">
      <alignment horizontal="right"/>
      <protection/>
    </xf>
    <xf numFmtId="0" fontId="4" fillId="0" borderId="0" xfId="0" applyFont="1" applyBorder="1" applyAlignment="1" applyProtection="1">
      <alignment horizontal="right"/>
      <protection/>
    </xf>
    <xf numFmtId="0" fontId="4" fillId="0" borderId="0" xfId="0" applyFont="1" applyBorder="1" applyAlignment="1">
      <alignment horizontal="right"/>
    </xf>
    <xf numFmtId="0" fontId="4" fillId="36" borderId="0" xfId="0" applyFont="1" applyFill="1" applyBorder="1" applyAlignment="1" applyProtection="1">
      <alignment/>
      <protection/>
    </xf>
    <xf numFmtId="0" fontId="0" fillId="0" borderId="0" xfId="0" applyFont="1" applyBorder="1" applyAlignment="1" applyProtection="1">
      <alignment/>
      <protection/>
    </xf>
    <xf numFmtId="3" fontId="4" fillId="0" borderId="0" xfId="0" applyNumberFormat="1" applyFont="1" applyFill="1" applyBorder="1" applyAlignment="1" applyProtection="1">
      <alignment/>
      <protection/>
    </xf>
    <xf numFmtId="3" fontId="5" fillId="34" borderId="0" xfId="44" applyNumberFormat="1" applyFont="1" applyFill="1" applyBorder="1" applyAlignment="1">
      <alignment/>
    </xf>
    <xf numFmtId="3" fontId="4" fillId="0" borderId="0" xfId="44" applyNumberFormat="1" applyFont="1" applyFill="1" applyBorder="1" applyAlignment="1">
      <alignment/>
    </xf>
    <xf numFmtId="0" fontId="7" fillId="36" borderId="0" xfId="0" applyFont="1" applyFill="1" applyBorder="1" applyAlignment="1" applyProtection="1">
      <alignment horizontal="right"/>
      <protection/>
    </xf>
    <xf numFmtId="164" fontId="0" fillId="0" borderId="0" xfId="59" applyNumberFormat="1" applyFont="1" applyFill="1" applyBorder="1" applyAlignment="1" applyProtection="1">
      <alignment/>
      <protection/>
    </xf>
    <xf numFmtId="164" fontId="6" fillId="34" borderId="0" xfId="0" applyNumberFormat="1" applyFont="1" applyFill="1" applyBorder="1" applyAlignment="1">
      <alignment/>
    </xf>
    <xf numFmtId="164" fontId="6" fillId="0" borderId="0" xfId="0" applyNumberFormat="1" applyFont="1" applyFill="1" applyBorder="1" applyAlignment="1">
      <alignment/>
    </xf>
    <xf numFmtId="0" fontId="6" fillId="34" borderId="0" xfId="0" applyFont="1" applyFill="1" applyBorder="1" applyAlignment="1">
      <alignment/>
    </xf>
    <xf numFmtId="0" fontId="0" fillId="34" borderId="0" xfId="0" applyFont="1" applyFill="1" applyBorder="1" applyAlignment="1">
      <alignment/>
    </xf>
    <xf numFmtId="3" fontId="4" fillId="0" borderId="25" xfId="0" applyNumberFormat="1" applyFont="1" applyFill="1" applyBorder="1" applyAlignment="1" applyProtection="1">
      <alignment/>
      <protection/>
    </xf>
    <xf numFmtId="3" fontId="4" fillId="0" borderId="25" xfId="44" applyNumberFormat="1" applyFont="1" applyFill="1" applyBorder="1" applyAlignment="1">
      <alignment/>
    </xf>
    <xf numFmtId="164" fontId="0" fillId="0" borderId="0" xfId="59" applyNumberFormat="1" applyFont="1" applyFill="1" applyBorder="1" applyAlignment="1">
      <alignment/>
    </xf>
    <xf numFmtId="0" fontId="0" fillId="36" borderId="0" xfId="0" applyFont="1" applyFill="1" applyBorder="1" applyAlignment="1" applyProtection="1">
      <alignment horizontal="right"/>
      <protection/>
    </xf>
    <xf numFmtId="3" fontId="4" fillId="36" borderId="0" xfId="0" applyNumberFormat="1" applyFont="1" applyFill="1" applyBorder="1" applyAlignment="1" applyProtection="1">
      <alignment horizontal="right"/>
      <protection/>
    </xf>
    <xf numFmtId="164" fontId="5" fillId="0" borderId="0" xfId="0" applyNumberFormat="1" applyFont="1" applyFill="1" applyBorder="1" applyAlignment="1">
      <alignment/>
    </xf>
    <xf numFmtId="165" fontId="6" fillId="34" borderId="0" xfId="0" applyNumberFormat="1" applyFont="1" applyFill="1" applyBorder="1" applyAlignment="1">
      <alignment/>
    </xf>
    <xf numFmtId="165" fontId="6" fillId="0" borderId="0" xfId="0" applyNumberFormat="1" applyFont="1" applyFill="1" applyBorder="1" applyAlignment="1">
      <alignment/>
    </xf>
    <xf numFmtId="164" fontId="0" fillId="0" borderId="0" xfId="59" applyNumberFormat="1" applyFont="1" applyAlignment="1">
      <alignment/>
    </xf>
    <xf numFmtId="164" fontId="6" fillId="34" borderId="0" xfId="59" applyNumberFormat="1" applyFont="1" applyFill="1" applyBorder="1" applyAlignment="1">
      <alignment/>
    </xf>
    <xf numFmtId="164" fontId="5" fillId="0" borderId="0" xfId="59" applyNumberFormat="1" applyFont="1" applyFill="1" applyBorder="1" applyAlignment="1">
      <alignment/>
    </xf>
    <xf numFmtId="3" fontId="4" fillId="0" borderId="42" xfId="0" applyNumberFormat="1" applyFont="1" applyFill="1" applyBorder="1" applyAlignment="1" applyProtection="1">
      <alignment/>
      <protection/>
    </xf>
    <xf numFmtId="3" fontId="5" fillId="34" borderId="0" xfId="0" applyNumberFormat="1" applyFont="1" applyFill="1" applyBorder="1" applyAlignment="1">
      <alignment/>
    </xf>
    <xf numFmtId="0" fontId="4" fillId="38" borderId="25" xfId="0" applyFont="1" applyFill="1" applyBorder="1" applyAlignment="1" applyProtection="1">
      <alignment horizontal="left"/>
      <protection/>
    </xf>
    <xf numFmtId="0" fontId="4" fillId="38" borderId="23" xfId="0" applyFont="1" applyFill="1" applyBorder="1" applyAlignment="1" applyProtection="1">
      <alignment horizontal="left"/>
      <protection/>
    </xf>
    <xf numFmtId="0" fontId="4" fillId="33" borderId="23" xfId="0" applyFont="1" applyFill="1" applyBorder="1" applyAlignment="1">
      <alignment/>
    </xf>
    <xf numFmtId="0" fontId="0" fillId="33" borderId="23" xfId="0" applyFont="1" applyFill="1" applyBorder="1" applyAlignment="1">
      <alignment/>
    </xf>
    <xf numFmtId="0" fontId="0" fillId="33" borderId="31" xfId="0" applyFont="1" applyFill="1" applyBorder="1" applyAlignment="1">
      <alignment/>
    </xf>
    <xf numFmtId="0" fontId="4" fillId="39" borderId="0" xfId="0" applyFont="1" applyFill="1" applyBorder="1" applyAlignment="1" applyProtection="1">
      <alignment horizontal="left"/>
      <protection/>
    </xf>
    <xf numFmtId="0" fontId="12" fillId="36" borderId="0" xfId="0" applyFont="1" applyFill="1" applyBorder="1" applyAlignment="1" applyProtection="1">
      <alignment/>
      <protection/>
    </xf>
    <xf numFmtId="0" fontId="4" fillId="33" borderId="43" xfId="0" applyFont="1" applyFill="1" applyBorder="1" applyAlignment="1" applyProtection="1">
      <alignment/>
      <protection/>
    </xf>
    <xf numFmtId="0" fontId="0" fillId="33" borderId="43" xfId="0" applyFont="1" applyFill="1" applyBorder="1" applyAlignment="1" applyProtection="1">
      <alignment/>
      <protection/>
    </xf>
    <xf numFmtId="0" fontId="4" fillId="34" borderId="43" xfId="0" applyFont="1" applyFill="1" applyBorder="1" applyAlignment="1">
      <alignment/>
    </xf>
    <xf numFmtId="0" fontId="0" fillId="34" borderId="43" xfId="0" applyFont="1" applyFill="1" applyBorder="1" applyAlignment="1">
      <alignment/>
    </xf>
    <xf numFmtId="0" fontId="0" fillId="0" borderId="0" xfId="0" applyFont="1" applyFill="1" applyBorder="1" applyAlignment="1" applyProtection="1">
      <alignment/>
      <protection/>
    </xf>
    <xf numFmtId="3" fontId="4" fillId="0" borderId="0" xfId="0" applyNumberFormat="1" applyFont="1" applyFill="1" applyBorder="1" applyAlignment="1">
      <alignment/>
    </xf>
    <xf numFmtId="1" fontId="6" fillId="0" borderId="0" xfId="0" applyNumberFormat="1" applyFont="1" applyFill="1" applyBorder="1" applyAlignment="1">
      <alignment/>
    </xf>
    <xf numFmtId="1" fontId="5" fillId="0" borderId="0" xfId="0" applyNumberFormat="1" applyFont="1" applyFill="1" applyBorder="1" applyAlignment="1">
      <alignment/>
    </xf>
    <xf numFmtId="1" fontId="0" fillId="0" borderId="0" xfId="0" applyNumberFormat="1" applyFont="1" applyAlignment="1">
      <alignment/>
    </xf>
    <xf numFmtId="165" fontId="5" fillId="0" borderId="0" xfId="0" applyNumberFormat="1" applyFont="1" applyFill="1" applyBorder="1" applyAlignment="1">
      <alignment/>
    </xf>
    <xf numFmtId="9" fontId="6" fillId="34" borderId="0" xfId="59" applyFont="1" applyFill="1" applyBorder="1" applyAlignment="1">
      <alignment/>
    </xf>
    <xf numFmtId="1" fontId="6" fillId="0" borderId="0" xfId="0" applyNumberFormat="1" applyFont="1" applyBorder="1" applyAlignment="1">
      <alignment/>
    </xf>
    <xf numFmtId="164" fontId="5" fillId="0" borderId="0" xfId="59" applyNumberFormat="1" applyFont="1" applyBorder="1" applyAlignment="1">
      <alignment/>
    </xf>
    <xf numFmtId="1" fontId="5" fillId="0" borderId="0" xfId="59" applyNumberFormat="1" applyFont="1" applyFill="1" applyBorder="1" applyAlignment="1">
      <alignment/>
    </xf>
    <xf numFmtId="1" fontId="5" fillId="0" borderId="0" xfId="0" applyNumberFormat="1" applyFont="1" applyBorder="1" applyAlignment="1">
      <alignment/>
    </xf>
    <xf numFmtId="167" fontId="5" fillId="0" borderId="0" xfId="44" applyNumberFormat="1" applyFont="1" applyFill="1" applyBorder="1" applyAlignment="1">
      <alignment/>
    </xf>
    <xf numFmtId="164" fontId="6" fillId="0" borderId="0" xfId="59" applyNumberFormat="1" applyFont="1" applyFill="1" applyBorder="1" applyAlignment="1" applyProtection="1">
      <alignment/>
      <protection/>
    </xf>
    <xf numFmtId="1" fontId="6" fillId="0" borderId="0" xfId="59" applyNumberFormat="1" applyFont="1" applyFill="1" applyBorder="1" applyAlignment="1">
      <alignment/>
    </xf>
    <xf numFmtId="1" fontId="6" fillId="0" borderId="0" xfId="59" applyNumberFormat="1" applyFont="1" applyBorder="1" applyAlignment="1">
      <alignment/>
    </xf>
    <xf numFmtId="3" fontId="0" fillId="0" borderId="0" xfId="0" applyNumberFormat="1" applyFont="1" applyFill="1" applyBorder="1" applyAlignment="1">
      <alignment/>
    </xf>
    <xf numFmtId="9" fontId="6" fillId="0" borderId="0" xfId="59" applyFont="1" applyFill="1" applyBorder="1" applyAlignment="1">
      <alignment/>
    </xf>
    <xf numFmtId="9" fontId="5" fillId="0" borderId="0" xfId="59" applyFont="1" applyFill="1" applyBorder="1" applyAlignment="1">
      <alignment/>
    </xf>
    <xf numFmtId="1" fontId="6" fillId="34" borderId="0" xfId="0" applyNumberFormat="1" applyFont="1" applyFill="1" applyBorder="1" applyAlignment="1">
      <alignment/>
    </xf>
    <xf numFmtId="3" fontId="4" fillId="0" borderId="42" xfId="0" applyNumberFormat="1" applyFont="1" applyBorder="1" applyAlignment="1" applyProtection="1">
      <alignment/>
      <protection/>
    </xf>
    <xf numFmtId="0" fontId="13" fillId="36" borderId="0" xfId="0" applyFont="1" applyFill="1" applyBorder="1" applyAlignment="1" applyProtection="1">
      <alignment/>
      <protection/>
    </xf>
    <xf numFmtId="0" fontId="13" fillId="0" borderId="0" xfId="0" applyFont="1" applyBorder="1" applyAlignment="1" applyProtection="1">
      <alignment/>
      <protection/>
    </xf>
    <xf numFmtId="164" fontId="0" fillId="0" borderId="0" xfId="59" applyNumberFormat="1" applyFont="1" applyBorder="1" applyAlignment="1" applyProtection="1">
      <alignment/>
      <protection/>
    </xf>
    <xf numFmtId="3" fontId="4" fillId="40" borderId="0" xfId="0" applyNumberFormat="1" applyFont="1" applyFill="1" applyBorder="1" applyAlignment="1">
      <alignment/>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8" xfId="0" applyFont="1" applyFill="1" applyBorder="1" applyAlignment="1" applyProtection="1">
      <alignment/>
      <protection/>
    </xf>
    <xf numFmtId="0" fontId="4" fillId="0" borderId="0" xfId="0" applyFont="1" applyFill="1" applyBorder="1" applyAlignment="1" applyProtection="1">
      <alignment horizontal="right"/>
      <protection/>
    </xf>
    <xf numFmtId="3" fontId="4" fillId="34" borderId="0" xfId="0" applyNumberFormat="1" applyFont="1" applyFill="1" applyBorder="1" applyAlignment="1">
      <alignment/>
    </xf>
    <xf numFmtId="3" fontId="4" fillId="34" borderId="19" xfId="0" applyNumberFormat="1" applyFont="1" applyFill="1" applyBorder="1" applyAlignment="1">
      <alignment/>
    </xf>
    <xf numFmtId="164" fontId="4" fillId="0" borderId="0" xfId="59" applyNumberFormat="1" applyFont="1" applyFill="1" applyBorder="1" applyAlignment="1">
      <alignment/>
    </xf>
    <xf numFmtId="164" fontId="6" fillId="0" borderId="0" xfId="59" applyNumberFormat="1" applyFont="1" applyBorder="1" applyAlignment="1">
      <alignment/>
    </xf>
    <xf numFmtId="1" fontId="4" fillId="0" borderId="19" xfId="0" applyNumberFormat="1" applyFont="1" applyFill="1" applyBorder="1" applyAlignment="1">
      <alignment/>
    </xf>
    <xf numFmtId="165" fontId="4" fillId="0" borderId="0" xfId="0" applyNumberFormat="1" applyFont="1" applyFill="1" applyBorder="1" applyAlignment="1">
      <alignment/>
    </xf>
    <xf numFmtId="0" fontId="6" fillId="0" borderId="0" xfId="0" applyFont="1" applyFill="1" applyBorder="1" applyAlignment="1">
      <alignment/>
    </xf>
    <xf numFmtId="165" fontId="6" fillId="0" borderId="0" xfId="59" applyNumberFormat="1" applyFont="1" applyBorder="1" applyAlignment="1">
      <alignment/>
    </xf>
    <xf numFmtId="3" fontId="4" fillId="34" borderId="42" xfId="0" applyNumberFormat="1" applyFont="1" applyFill="1" applyBorder="1" applyAlignment="1">
      <alignment/>
    </xf>
    <xf numFmtId="3" fontId="4" fillId="34" borderId="44" xfId="0" applyNumberFormat="1" applyFont="1" applyFill="1" applyBorder="1" applyAlignment="1">
      <alignment/>
    </xf>
    <xf numFmtId="0" fontId="0" fillId="0" borderId="20" xfId="0" applyFont="1" applyFill="1" applyBorder="1" applyAlignment="1" applyProtection="1">
      <alignment/>
      <protection/>
    </xf>
    <xf numFmtId="0" fontId="0" fillId="0" borderId="21" xfId="0" applyFont="1" applyFill="1" applyBorder="1" applyAlignment="1" applyProtection="1">
      <alignment/>
      <protection/>
    </xf>
    <xf numFmtId="1" fontId="4" fillId="0" borderId="21" xfId="0" applyNumberFormat="1" applyFont="1" applyFill="1" applyBorder="1" applyAlignment="1">
      <alignment/>
    </xf>
    <xf numFmtId="1" fontId="4" fillId="0" borderId="22" xfId="0" applyNumberFormat="1" applyFont="1" applyFill="1" applyBorder="1" applyAlignment="1">
      <alignment/>
    </xf>
    <xf numFmtId="0" fontId="4" fillId="38" borderId="24" xfId="0" applyFont="1" applyFill="1" applyBorder="1" applyAlignment="1" applyProtection="1">
      <alignment horizontal="left"/>
      <protection/>
    </xf>
    <xf numFmtId="0" fontId="4" fillId="38"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4" fillId="33" borderId="0" xfId="0" applyFont="1" applyFill="1" applyBorder="1" applyAlignment="1">
      <alignment/>
    </xf>
    <xf numFmtId="0" fontId="0" fillId="36" borderId="36" xfId="0" applyFont="1" applyFill="1" applyBorder="1" applyAlignment="1" applyProtection="1">
      <alignment/>
      <protection/>
    </xf>
    <xf numFmtId="0" fontId="0" fillId="36" borderId="42" xfId="0" applyFont="1" applyFill="1" applyBorder="1" applyAlignment="1" applyProtection="1">
      <alignment/>
      <protection/>
    </xf>
    <xf numFmtId="0" fontId="0" fillId="36" borderId="42" xfId="0" applyFont="1" applyFill="1" applyBorder="1" applyAlignment="1">
      <alignment/>
    </xf>
    <xf numFmtId="0" fontId="4" fillId="0" borderId="0" xfId="0" applyFont="1" applyBorder="1" applyAlignment="1" applyProtection="1">
      <alignment/>
      <protection/>
    </xf>
    <xf numFmtId="3" fontId="4" fillId="0" borderId="0" xfId="0" applyNumberFormat="1" applyFont="1" applyBorder="1" applyAlignment="1" applyProtection="1">
      <alignment/>
      <protection/>
    </xf>
    <xf numFmtId="3" fontId="4" fillId="0" borderId="25" xfId="0" applyNumberFormat="1" applyFont="1" applyBorder="1" applyAlignment="1" applyProtection="1">
      <alignment/>
      <protection/>
    </xf>
    <xf numFmtId="1" fontId="0" fillId="0" borderId="0" xfId="0" applyNumberFormat="1" applyFont="1" applyBorder="1" applyAlignment="1" applyProtection="1">
      <alignment/>
      <protection/>
    </xf>
    <xf numFmtId="1" fontId="13" fillId="0" borderId="0" xfId="0" applyNumberFormat="1" applyFont="1" applyBorder="1" applyAlignment="1" applyProtection="1">
      <alignment/>
      <protection/>
    </xf>
    <xf numFmtId="1" fontId="13" fillId="0" borderId="0" xfId="0" applyNumberFormat="1" applyFont="1" applyFill="1" applyBorder="1" applyAlignment="1">
      <alignment/>
    </xf>
    <xf numFmtId="1" fontId="0" fillId="0" borderId="0" xfId="0" applyNumberFormat="1" applyFont="1" applyFill="1" applyBorder="1" applyAlignment="1">
      <alignment/>
    </xf>
    <xf numFmtId="0" fontId="0" fillId="36" borderId="42" xfId="0" applyFont="1" applyFill="1" applyBorder="1" applyAlignment="1" applyProtection="1">
      <alignment/>
      <protection locked="0"/>
    </xf>
    <xf numFmtId="0" fontId="4" fillId="0" borderId="0" xfId="0" applyFont="1" applyFill="1" applyBorder="1" applyAlignment="1">
      <alignment horizontal="right"/>
    </xf>
    <xf numFmtId="1" fontId="4" fillId="36" borderId="0" xfId="0" applyNumberFormat="1" applyFont="1" applyFill="1" applyBorder="1" applyAlignment="1" applyProtection="1">
      <alignment/>
      <protection/>
    </xf>
    <xf numFmtId="164" fontId="4" fillId="0" borderId="0" xfId="59" applyNumberFormat="1" applyFont="1" applyBorder="1" applyAlignment="1" applyProtection="1">
      <alignment/>
      <protection/>
    </xf>
    <xf numFmtId="164" fontId="4" fillId="0" borderId="0" xfId="59" applyNumberFormat="1" applyFont="1" applyBorder="1" applyAlignment="1">
      <alignment/>
    </xf>
    <xf numFmtId="1" fontId="4" fillId="0" borderId="0" xfId="0" applyNumberFormat="1" applyFont="1" applyBorder="1" applyAlignment="1">
      <alignment/>
    </xf>
    <xf numFmtId="0" fontId="4" fillId="36" borderId="0" xfId="0" applyFont="1" applyFill="1" applyBorder="1" applyAlignment="1" applyProtection="1">
      <alignment horizontal="left"/>
      <protection/>
    </xf>
    <xf numFmtId="165" fontId="4" fillId="0" borderId="0" xfId="59" applyNumberFormat="1" applyFont="1" applyBorder="1" applyAlignment="1" applyProtection="1">
      <alignment/>
      <protection/>
    </xf>
    <xf numFmtId="165" fontId="4" fillId="0" borderId="0" xfId="0" applyNumberFormat="1" applyFont="1" applyBorder="1" applyAlignment="1">
      <alignment/>
    </xf>
    <xf numFmtId="0" fontId="0" fillId="36" borderId="0" xfId="0" applyFont="1" applyFill="1" applyBorder="1" applyAlignment="1" applyProtection="1" quotePrefix="1">
      <alignment horizontal="right"/>
      <protection/>
    </xf>
    <xf numFmtId="165" fontId="4" fillId="0" borderId="0" xfId="0" applyNumberFormat="1" applyFont="1" applyBorder="1" applyAlignment="1" applyProtection="1">
      <alignment/>
      <protection/>
    </xf>
    <xf numFmtId="0" fontId="0" fillId="33" borderId="38" xfId="0" applyFont="1" applyFill="1" applyBorder="1" applyAlignment="1">
      <alignment/>
    </xf>
    <xf numFmtId="0" fontId="0" fillId="33" borderId="45" xfId="0" applyFont="1" applyFill="1" applyBorder="1" applyAlignment="1">
      <alignment/>
    </xf>
    <xf numFmtId="0" fontId="4" fillId="33" borderId="46" xfId="0" applyFont="1" applyFill="1" applyBorder="1" applyAlignment="1">
      <alignment/>
    </xf>
    <xf numFmtId="0" fontId="4" fillId="33" borderId="24" xfId="0" applyFont="1" applyFill="1" applyBorder="1" applyAlignment="1">
      <alignment/>
    </xf>
    <xf numFmtId="0" fontId="0" fillId="33" borderId="36" xfId="0" applyFont="1" applyFill="1" applyBorder="1" applyAlignment="1">
      <alignment/>
    </xf>
    <xf numFmtId="0" fontId="0" fillId="0" borderId="25" xfId="0" applyFont="1" applyBorder="1" applyAlignment="1">
      <alignment/>
    </xf>
    <xf numFmtId="170" fontId="4" fillId="0" borderId="0" xfId="42" applyNumberFormat="1" applyFont="1" applyAlignment="1">
      <alignment/>
    </xf>
    <xf numFmtId="170" fontId="5" fillId="34" borderId="0" xfId="42" applyNumberFormat="1" applyFont="1" applyFill="1" applyBorder="1" applyAlignment="1" applyProtection="1">
      <alignment horizontal="right"/>
      <protection/>
    </xf>
    <xf numFmtId="170" fontId="4" fillId="0" borderId="0" xfId="42" applyNumberFormat="1" applyFont="1" applyFill="1" applyBorder="1" applyAlignment="1" applyProtection="1">
      <alignment horizontal="right"/>
      <protection/>
    </xf>
    <xf numFmtId="164" fontId="6" fillId="34" borderId="0" xfId="0" applyNumberFormat="1" applyFont="1" applyFill="1" applyAlignment="1">
      <alignment/>
    </xf>
    <xf numFmtId="0" fontId="0" fillId="34" borderId="0" xfId="0" applyFont="1" applyFill="1" applyAlignment="1">
      <alignment/>
    </xf>
    <xf numFmtId="0" fontId="4" fillId="0" borderId="0" xfId="0" applyFont="1" applyAlignment="1">
      <alignment horizontal="right"/>
    </xf>
    <xf numFmtId="3" fontId="4" fillId="0" borderId="0" xfId="0" applyNumberFormat="1" applyFont="1" applyAlignment="1">
      <alignment/>
    </xf>
    <xf numFmtId="0" fontId="4" fillId="0" borderId="0" xfId="0" applyFont="1" applyAlignment="1">
      <alignment horizontal="left"/>
    </xf>
    <xf numFmtId="3" fontId="5" fillId="0" borderId="0" xfId="0" applyNumberFormat="1" applyFont="1" applyFill="1" applyBorder="1" applyAlignment="1">
      <alignment/>
    </xf>
    <xf numFmtId="41" fontId="4" fillId="33" borderId="25" xfId="0" applyNumberFormat="1" applyFont="1" applyFill="1" applyBorder="1" applyAlignment="1">
      <alignment/>
    </xf>
    <xf numFmtId="41" fontId="4" fillId="34" borderId="24" xfId="0" applyNumberFormat="1" applyFont="1" applyFill="1" applyBorder="1" applyAlignment="1">
      <alignment/>
    </xf>
    <xf numFmtId="41" fontId="4" fillId="34" borderId="25" xfId="0" applyNumberFormat="1" applyFont="1" applyFill="1" applyBorder="1" applyAlignment="1">
      <alignment/>
    </xf>
    <xf numFmtId="0" fontId="4" fillId="34" borderId="25" xfId="0" applyFont="1" applyFill="1" applyBorder="1" applyAlignment="1">
      <alignment/>
    </xf>
    <xf numFmtId="0" fontId="4" fillId="0" borderId="23" xfId="0" applyFont="1" applyBorder="1" applyAlignment="1">
      <alignment/>
    </xf>
    <xf numFmtId="0" fontId="4" fillId="0" borderId="0" xfId="0" applyFont="1" applyFill="1" applyBorder="1" applyAlignment="1">
      <alignment horizontal="center"/>
    </xf>
    <xf numFmtId="171" fontId="4" fillId="0" borderId="0" xfId="44" applyNumberFormat="1" applyFont="1" applyFill="1" applyBorder="1" applyAlignment="1">
      <alignment/>
    </xf>
    <xf numFmtId="182" fontId="4" fillId="0" borderId="0" xfId="44" applyNumberFormat="1" applyFont="1" applyFill="1" applyBorder="1" applyAlignment="1">
      <alignment/>
    </xf>
    <xf numFmtId="3" fontId="4" fillId="0" borderId="0" xfId="0" applyNumberFormat="1" applyFont="1" applyFill="1" applyBorder="1" applyAlignment="1">
      <alignment horizontal="right"/>
    </xf>
    <xf numFmtId="3" fontId="4" fillId="0" borderId="0" xfId="42" applyNumberFormat="1" applyFont="1" applyFill="1" applyBorder="1" applyAlignment="1">
      <alignment/>
    </xf>
    <xf numFmtId="3" fontId="4" fillId="0" borderId="25" xfId="0" applyNumberFormat="1" applyFont="1" applyFill="1" applyBorder="1" applyAlignment="1">
      <alignment horizontal="right"/>
    </xf>
    <xf numFmtId="3" fontId="5" fillId="34" borderId="25" xfId="44" applyNumberFormat="1" applyFont="1" applyFill="1" applyBorder="1" applyAlignment="1">
      <alignment/>
    </xf>
    <xf numFmtId="41" fontId="4" fillId="0" borderId="0" xfId="0" applyNumberFormat="1" applyFont="1" applyFill="1" applyBorder="1" applyAlignment="1">
      <alignment/>
    </xf>
    <xf numFmtId="1" fontId="4" fillId="0" borderId="0" xfId="42" applyNumberFormat="1" applyFont="1" applyFill="1" applyBorder="1" applyAlignment="1">
      <alignment/>
    </xf>
    <xf numFmtId="183" fontId="4" fillId="0" borderId="0" xfId="44" applyNumberFormat="1" applyFont="1" applyFill="1" applyBorder="1" applyAlignment="1">
      <alignment/>
    </xf>
    <xf numFmtId="164" fontId="5" fillId="34" borderId="0" xfId="0" applyNumberFormat="1" applyFont="1" applyFill="1" applyAlignment="1">
      <alignment/>
    </xf>
    <xf numFmtId="9" fontId="5" fillId="0" borderId="0" xfId="0" applyNumberFormat="1" applyFont="1" applyFill="1" applyBorder="1" applyAlignment="1">
      <alignment/>
    </xf>
    <xf numFmtId="9" fontId="5" fillId="0" borderId="0" xfId="0" applyNumberFormat="1" applyFont="1" applyAlignment="1">
      <alignment/>
    </xf>
    <xf numFmtId="0" fontId="4" fillId="34" borderId="24" xfId="0" applyFont="1" applyFill="1" applyBorder="1" applyAlignment="1">
      <alignment/>
    </xf>
    <xf numFmtId="0" fontId="4" fillId="0" borderId="0" xfId="0" applyFont="1" applyAlignment="1" applyProtection="1">
      <alignment/>
      <protection/>
    </xf>
    <xf numFmtId="0" fontId="14" fillId="0" borderId="0" xfId="0" applyFont="1" applyFill="1" applyBorder="1" applyAlignment="1">
      <alignment horizontal="center"/>
    </xf>
    <xf numFmtId="0" fontId="4" fillId="0" borderId="0" xfId="0" applyFont="1" applyAlignment="1" applyProtection="1">
      <alignment horizontal="left"/>
      <protection/>
    </xf>
    <xf numFmtId="42" fontId="4"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protection/>
    </xf>
    <xf numFmtId="3" fontId="4" fillId="0" borderId="0" xfId="0" applyNumberFormat="1" applyFont="1" applyAlignment="1" applyProtection="1">
      <alignment/>
      <protection/>
    </xf>
    <xf numFmtId="3" fontId="4" fillId="0" borderId="23" xfId="0" applyNumberFormat="1" applyFont="1" applyBorder="1" applyAlignment="1" applyProtection="1">
      <alignment/>
      <protection/>
    </xf>
    <xf numFmtId="3" fontId="4" fillId="33" borderId="25" xfId="44" applyNumberFormat="1" applyFont="1" applyFill="1" applyBorder="1" applyAlignment="1" applyProtection="1">
      <alignment/>
      <protection/>
    </xf>
    <xf numFmtId="176" fontId="4" fillId="0" borderId="0" xfId="0" applyNumberFormat="1" applyFont="1" applyBorder="1" applyAlignment="1" applyProtection="1">
      <alignment/>
      <protection/>
    </xf>
    <xf numFmtId="176" fontId="4" fillId="0" borderId="0" xfId="0" applyNumberFormat="1" applyFont="1" applyAlignment="1" applyProtection="1">
      <alignment/>
      <protection/>
    </xf>
    <xf numFmtId="42" fontId="4" fillId="0" borderId="0" xfId="0" applyNumberFormat="1" applyFont="1" applyAlignment="1" applyProtection="1">
      <alignment/>
      <protection/>
    </xf>
    <xf numFmtId="42" fontId="4" fillId="0" borderId="0" xfId="0" applyNumberFormat="1" applyFont="1" applyAlignment="1">
      <alignment/>
    </xf>
    <xf numFmtId="165" fontId="4" fillId="0" borderId="0" xfId="0" applyNumberFormat="1" applyFont="1" applyAlignment="1">
      <alignment/>
    </xf>
    <xf numFmtId="176" fontId="0" fillId="0" borderId="0" xfId="0" applyNumberFormat="1" applyFont="1" applyAlignment="1" applyProtection="1">
      <alignment/>
      <protection/>
    </xf>
    <xf numFmtId="179" fontId="5" fillId="0" borderId="0" xfId="0" applyNumberFormat="1" applyFont="1" applyFill="1" applyBorder="1" applyAlignment="1" applyProtection="1">
      <alignment/>
      <protection/>
    </xf>
    <xf numFmtId="176" fontId="5" fillId="0" borderId="0" xfId="0" applyNumberFormat="1" applyFont="1" applyAlignment="1" applyProtection="1">
      <alignment/>
      <protection/>
    </xf>
    <xf numFmtId="0" fontId="15" fillId="0" borderId="0" xfId="0" applyFont="1" applyAlignment="1">
      <alignment/>
    </xf>
    <xf numFmtId="165" fontId="0" fillId="0" borderId="0" xfId="0" applyNumberFormat="1" applyFont="1" applyFill="1" applyBorder="1" applyAlignment="1">
      <alignment/>
    </xf>
    <xf numFmtId="3" fontId="4" fillId="33" borderId="25" xfId="0" applyNumberFormat="1" applyFont="1" applyFill="1" applyBorder="1" applyAlignment="1">
      <alignment/>
    </xf>
    <xf numFmtId="37" fontId="4" fillId="0" borderId="0" xfId="44" applyNumberFormat="1" applyFont="1" applyBorder="1" applyAlignment="1">
      <alignment/>
    </xf>
    <xf numFmtId="37" fontId="4" fillId="0" borderId="0" xfId="44" applyNumberFormat="1" applyFont="1" applyAlignment="1">
      <alignment/>
    </xf>
    <xf numFmtId="165" fontId="16" fillId="0" borderId="0" xfId="0" applyNumberFormat="1" applyFont="1" applyFill="1" applyBorder="1" applyAlignment="1">
      <alignment/>
    </xf>
    <xf numFmtId="37" fontId="4" fillId="0" borderId="0" xfId="0" applyNumberFormat="1" applyFont="1" applyAlignment="1">
      <alignment/>
    </xf>
    <xf numFmtId="169" fontId="16" fillId="0" borderId="0" xfId="0" applyNumberFormat="1" applyFont="1" applyAlignment="1">
      <alignment/>
    </xf>
    <xf numFmtId="0" fontId="0" fillId="33" borderId="12" xfId="0" applyFont="1" applyFill="1" applyBorder="1" applyAlignment="1">
      <alignment/>
    </xf>
    <xf numFmtId="3" fontId="0" fillId="37" borderId="47" xfId="0" applyNumberFormat="1" applyFont="1" applyFill="1" applyBorder="1" applyAlignment="1">
      <alignment/>
    </xf>
    <xf numFmtId="0" fontId="0" fillId="37" borderId="36" xfId="0" applyFont="1" applyFill="1" applyBorder="1" applyAlignment="1">
      <alignment/>
    </xf>
    <xf numFmtId="44" fontId="0" fillId="37" borderId="48" xfId="0" applyNumberFormat="1" applyFont="1" applyFill="1" applyBorder="1" applyAlignment="1">
      <alignment/>
    </xf>
    <xf numFmtId="44" fontId="0" fillId="37" borderId="49" xfId="0" applyNumberFormat="1" applyFont="1" applyFill="1" applyBorder="1" applyAlignment="1">
      <alignment/>
    </xf>
    <xf numFmtId="3" fontId="0" fillId="37" borderId="50" xfId="0" applyNumberFormat="1" applyFont="1" applyFill="1" applyBorder="1" applyAlignment="1">
      <alignment/>
    </xf>
    <xf numFmtId="0" fontId="0" fillId="37" borderId="0" xfId="0" applyFont="1" applyFill="1" applyBorder="1" applyAlignment="1">
      <alignment/>
    </xf>
    <xf numFmtId="44" fontId="0" fillId="37" borderId="38" xfId="0" applyNumberFormat="1" applyFont="1" applyFill="1" applyBorder="1" applyAlignment="1">
      <alignment/>
    </xf>
    <xf numFmtId="44" fontId="0" fillId="37" borderId="51" xfId="0" applyNumberFormat="1" applyFont="1" applyFill="1" applyBorder="1" applyAlignment="1">
      <alignment/>
    </xf>
    <xf numFmtId="3" fontId="0" fillId="37" borderId="30" xfId="0" applyNumberFormat="1" applyFont="1" applyFill="1" applyBorder="1" applyAlignment="1">
      <alignment/>
    </xf>
    <xf numFmtId="0" fontId="0" fillId="37" borderId="23" xfId="0" applyFont="1" applyFill="1" applyBorder="1" applyAlignment="1">
      <alignment/>
    </xf>
    <xf numFmtId="44" fontId="0" fillId="37" borderId="31" xfId="0" applyNumberFormat="1" applyFont="1" applyFill="1" applyBorder="1" applyAlignment="1">
      <alignment/>
    </xf>
    <xf numFmtId="44" fontId="0" fillId="37" borderId="52" xfId="0" applyNumberFormat="1" applyFont="1" applyFill="1" applyBorder="1" applyAlignment="1">
      <alignment/>
    </xf>
    <xf numFmtId="0" fontId="13" fillId="36" borderId="0" xfId="0" applyFont="1" applyFill="1" applyBorder="1" applyAlignment="1">
      <alignment/>
    </xf>
    <xf numFmtId="44" fontId="0" fillId="36" borderId="0" xfId="0" applyNumberFormat="1" applyFont="1" applyFill="1" applyBorder="1" applyAlignment="1">
      <alignment/>
    </xf>
    <xf numFmtId="0" fontId="4" fillId="38" borderId="53" xfId="0" applyFont="1" applyFill="1" applyBorder="1" applyAlignment="1" applyProtection="1">
      <alignment horizontal="left"/>
      <protection/>
    </xf>
    <xf numFmtId="0" fontId="0" fillId="33" borderId="43" xfId="0" applyFont="1" applyFill="1" applyBorder="1" applyAlignment="1">
      <alignment/>
    </xf>
    <xf numFmtId="0" fontId="4" fillId="38" borderId="43" xfId="0" applyFont="1" applyFill="1" applyBorder="1" applyAlignment="1" applyProtection="1">
      <alignment/>
      <protection/>
    </xf>
    <xf numFmtId="0" fontId="4" fillId="33" borderId="43" xfId="0" applyFont="1" applyFill="1" applyBorder="1" applyAlignment="1">
      <alignment/>
    </xf>
    <xf numFmtId="0" fontId="4" fillId="33" borderId="54" xfId="0" applyFont="1" applyFill="1" applyBorder="1" applyAlignment="1">
      <alignment/>
    </xf>
    <xf numFmtId="0" fontId="4" fillId="38" borderId="55" xfId="0" applyFont="1" applyFill="1" applyBorder="1" applyAlignment="1" applyProtection="1">
      <alignment horizontal="left"/>
      <protection/>
    </xf>
    <xf numFmtId="0" fontId="0" fillId="33" borderId="24" xfId="0" applyFont="1" applyFill="1" applyBorder="1" applyAlignment="1">
      <alignment/>
    </xf>
    <xf numFmtId="0" fontId="0" fillId="38" borderId="56" xfId="0" applyFont="1" applyFill="1" applyBorder="1" applyAlignment="1">
      <alignment/>
    </xf>
    <xf numFmtId="0" fontId="0" fillId="33" borderId="13" xfId="0" applyFont="1" applyFill="1" applyBorder="1" applyAlignment="1">
      <alignment/>
    </xf>
    <xf numFmtId="0" fontId="4" fillId="36" borderId="57" xfId="0" applyFont="1" applyFill="1" applyBorder="1" applyAlignment="1">
      <alignment/>
    </xf>
    <xf numFmtId="0" fontId="4" fillId="36" borderId="58" xfId="0" applyFont="1" applyFill="1" applyBorder="1" applyAlignment="1">
      <alignment/>
    </xf>
    <xf numFmtId="0" fontId="4" fillId="34" borderId="59" xfId="0" applyFont="1" applyFill="1" applyBorder="1" applyAlignment="1">
      <alignment/>
    </xf>
    <xf numFmtId="0" fontId="4" fillId="34" borderId="17" xfId="0" applyFont="1" applyFill="1" applyBorder="1" applyAlignment="1">
      <alignment/>
    </xf>
    <xf numFmtId="0" fontId="4" fillId="36" borderId="60" xfId="0" applyFont="1" applyFill="1" applyBorder="1" applyAlignment="1">
      <alignment/>
    </xf>
    <xf numFmtId="0" fontId="4" fillId="36" borderId="61" xfId="0" applyFont="1" applyFill="1" applyBorder="1" applyAlignment="1">
      <alignment/>
    </xf>
    <xf numFmtId="0" fontId="4" fillId="36" borderId="62" xfId="0" applyFont="1" applyFill="1" applyBorder="1" applyAlignment="1">
      <alignment/>
    </xf>
    <xf numFmtId="44" fontId="5" fillId="34" borderId="13" xfId="44" applyFont="1" applyFill="1" applyBorder="1" applyAlignment="1">
      <alignment horizontal="right"/>
    </xf>
    <xf numFmtId="167" fontId="4" fillId="36" borderId="13" xfId="44" applyNumberFormat="1" applyFont="1" applyFill="1" applyBorder="1" applyAlignment="1">
      <alignment horizontal="right"/>
    </xf>
    <xf numFmtId="167" fontId="4" fillId="36" borderId="25" xfId="44" applyNumberFormat="1" applyFont="1" applyFill="1" applyBorder="1" applyAlignment="1">
      <alignment horizontal="right"/>
    </xf>
    <xf numFmtId="164" fontId="4" fillId="36" borderId="13" xfId="59" applyNumberFormat="1" applyFont="1" applyFill="1" applyBorder="1" applyAlignment="1">
      <alignment horizontal="right"/>
    </xf>
    <xf numFmtId="164" fontId="5" fillId="34" borderId="13" xfId="59" applyNumberFormat="1" applyFont="1" applyFill="1" applyBorder="1" applyAlignment="1">
      <alignment horizontal="right"/>
    </xf>
    <xf numFmtId="0" fontId="0" fillId="0" borderId="57" xfId="0" applyFont="1" applyBorder="1" applyAlignment="1">
      <alignment/>
    </xf>
    <xf numFmtId="2" fontId="5" fillId="34" borderId="13" xfId="59" applyNumberFormat="1" applyFont="1" applyFill="1" applyBorder="1" applyAlignment="1">
      <alignment/>
    </xf>
    <xf numFmtId="10" fontId="4" fillId="36" borderId="13" xfId="59" applyNumberFormat="1" applyFont="1" applyFill="1" applyBorder="1" applyAlignment="1">
      <alignment/>
    </xf>
    <xf numFmtId="167" fontId="5" fillId="34" borderId="13" xfId="44" applyNumberFormat="1" applyFont="1" applyFill="1" applyBorder="1" applyAlignment="1">
      <alignment/>
    </xf>
    <xf numFmtId="10" fontId="4" fillId="0" borderId="13" xfId="59" applyNumberFormat="1" applyFont="1" applyFill="1" applyBorder="1" applyAlignment="1">
      <alignment/>
    </xf>
    <xf numFmtId="0" fontId="5" fillId="36" borderId="0" xfId="0" applyFont="1" applyFill="1" applyBorder="1" applyAlignment="1">
      <alignment/>
    </xf>
    <xf numFmtId="0" fontId="4" fillId="36" borderId="63" xfId="0" applyFont="1" applyFill="1" applyBorder="1" applyAlignment="1">
      <alignment/>
    </xf>
    <xf numFmtId="0" fontId="4" fillId="36" borderId="41" xfId="0" applyFont="1" applyFill="1" applyBorder="1" applyAlignment="1">
      <alignment/>
    </xf>
    <xf numFmtId="0" fontId="4" fillId="36" borderId="64" xfId="0" applyFont="1" applyFill="1" applyBorder="1" applyAlignment="1">
      <alignment/>
    </xf>
    <xf numFmtId="0" fontId="4" fillId="38" borderId="65" xfId="0" applyFont="1" applyFill="1" applyBorder="1" applyAlignment="1" applyProtection="1">
      <alignment horizontal="left"/>
      <protection/>
    </xf>
    <xf numFmtId="0" fontId="0" fillId="33" borderId="60" xfId="0" applyFont="1" applyFill="1" applyBorder="1" applyAlignment="1">
      <alignment/>
    </xf>
    <xf numFmtId="0" fontId="4" fillId="38" borderId="60" xfId="0" applyFont="1" applyFill="1" applyBorder="1" applyAlignment="1" applyProtection="1">
      <alignment/>
      <protection/>
    </xf>
    <xf numFmtId="0" fontId="0" fillId="38" borderId="60" xfId="0" applyFont="1" applyFill="1" applyBorder="1" applyAlignment="1">
      <alignment/>
    </xf>
    <xf numFmtId="0" fontId="0" fillId="38" borderId="54" xfId="0" applyFont="1" applyFill="1" applyBorder="1" applyAlignment="1">
      <alignment/>
    </xf>
    <xf numFmtId="0" fontId="4" fillId="36" borderId="57" xfId="0" applyFont="1" applyFill="1" applyBorder="1" applyAlignment="1">
      <alignment horizontal="left"/>
    </xf>
    <xf numFmtId="0" fontId="4" fillId="36" borderId="0" xfId="0" applyNumberFormat="1" applyFont="1" applyFill="1" applyBorder="1" applyAlignment="1">
      <alignment/>
    </xf>
    <xf numFmtId="0" fontId="4" fillId="36" borderId="62" xfId="0" applyFont="1" applyFill="1" applyBorder="1" applyAlignment="1">
      <alignment horizontal="right"/>
    </xf>
    <xf numFmtId="0" fontId="4" fillId="36" borderId="0" xfId="0" applyFont="1" applyFill="1" applyBorder="1" applyAlignment="1" applyProtection="1">
      <alignment horizontal="center"/>
      <protection/>
    </xf>
    <xf numFmtId="0" fontId="4" fillId="36" borderId="62" xfId="0" applyFont="1" applyFill="1" applyBorder="1" applyAlignment="1" applyProtection="1">
      <alignment horizontal="right"/>
      <protection/>
    </xf>
    <xf numFmtId="0" fontId="4" fillId="41" borderId="57" xfId="0" applyFont="1" applyFill="1" applyBorder="1" applyAlignment="1" applyProtection="1">
      <alignment/>
      <protection/>
    </xf>
    <xf numFmtId="0" fontId="4" fillId="41" borderId="0" xfId="0" applyFont="1" applyFill="1" applyBorder="1" applyAlignment="1">
      <alignment/>
    </xf>
    <xf numFmtId="0" fontId="4" fillId="41" borderId="0" xfId="0" applyFont="1" applyFill="1" applyBorder="1" applyAlignment="1">
      <alignment horizontal="right"/>
    </xf>
    <xf numFmtId="0" fontId="4" fillId="41" borderId="62" xfId="0" applyFont="1" applyFill="1" applyBorder="1" applyAlignment="1">
      <alignment horizontal="right"/>
    </xf>
    <xf numFmtId="0" fontId="0" fillId="0" borderId="0" xfId="0" applyFont="1" applyFill="1" applyBorder="1" applyAlignment="1">
      <alignment horizontal="left"/>
    </xf>
    <xf numFmtId="0" fontId="4" fillId="36" borderId="57" xfId="0" applyFont="1" applyFill="1" applyBorder="1" applyAlignment="1" applyProtection="1">
      <alignment/>
      <protection/>
    </xf>
    <xf numFmtId="0" fontId="4" fillId="36" borderId="66" xfId="0" applyFont="1" applyFill="1" applyBorder="1" applyAlignment="1">
      <alignment/>
    </xf>
    <xf numFmtId="169" fontId="4" fillId="36" borderId="0" xfId="0" applyNumberFormat="1" applyFont="1" applyFill="1" applyBorder="1" applyAlignment="1" applyProtection="1">
      <alignment horizontal="right"/>
      <protection/>
    </xf>
    <xf numFmtId="169" fontId="4" fillId="36" borderId="62" xfId="0" applyNumberFormat="1" applyFont="1" applyFill="1" applyBorder="1" applyAlignment="1" applyProtection="1">
      <alignment horizontal="right"/>
      <protection/>
    </xf>
    <xf numFmtId="0" fontId="4" fillId="41" borderId="0" xfId="0" applyFont="1" applyFill="1" applyBorder="1" applyAlignment="1" applyProtection="1">
      <alignment/>
      <protection/>
    </xf>
    <xf numFmtId="169" fontId="4" fillId="41" borderId="0" xfId="0" applyNumberFormat="1" applyFont="1" applyFill="1" applyBorder="1" applyAlignment="1" applyProtection="1">
      <alignment horizontal="right"/>
      <protection/>
    </xf>
    <xf numFmtId="173" fontId="4" fillId="36" borderId="0" xfId="0" applyNumberFormat="1" applyFont="1" applyFill="1" applyBorder="1" applyAlignment="1" applyProtection="1">
      <alignment horizontal="right"/>
      <protection/>
    </xf>
    <xf numFmtId="173" fontId="4" fillId="36" borderId="62" xfId="0" applyNumberFormat="1" applyFont="1" applyFill="1" applyBorder="1" applyAlignment="1" applyProtection="1">
      <alignment horizontal="right"/>
      <protection/>
    </xf>
    <xf numFmtId="169" fontId="4" fillId="36" borderId="62" xfId="0" applyNumberFormat="1" applyFont="1" applyFill="1" applyBorder="1" applyAlignment="1">
      <alignment horizontal="right"/>
    </xf>
    <xf numFmtId="169" fontId="4" fillId="36" borderId="0" xfId="0" applyNumberFormat="1" applyFont="1" applyFill="1" applyBorder="1" applyAlignment="1">
      <alignment/>
    </xf>
    <xf numFmtId="169" fontId="4" fillId="36" borderId="62" xfId="0" applyNumberFormat="1" applyFont="1" applyFill="1" applyBorder="1" applyAlignment="1">
      <alignment/>
    </xf>
    <xf numFmtId="169" fontId="4" fillId="36" borderId="0" xfId="0" applyNumberFormat="1" applyFont="1" applyFill="1" applyBorder="1" applyAlignment="1" applyProtection="1">
      <alignment/>
      <protection/>
    </xf>
    <xf numFmtId="44" fontId="4" fillId="36" borderId="0" xfId="0" applyNumberFormat="1" applyFont="1" applyFill="1" applyBorder="1" applyAlignment="1">
      <alignment/>
    </xf>
    <xf numFmtId="2" fontId="4" fillId="36" borderId="41" xfId="0" applyNumberFormat="1" applyFont="1" applyFill="1" applyBorder="1" applyAlignment="1">
      <alignment/>
    </xf>
    <xf numFmtId="2" fontId="4" fillId="36" borderId="64" xfId="0" applyNumberFormat="1" applyFont="1" applyFill="1" applyBorder="1" applyAlignment="1">
      <alignment/>
    </xf>
    <xf numFmtId="169" fontId="4" fillId="36" borderId="0" xfId="0" applyNumberFormat="1" applyFont="1" applyFill="1" applyBorder="1" applyAlignment="1" applyProtection="1">
      <alignment/>
      <protection/>
    </xf>
    <xf numFmtId="169" fontId="4" fillId="36" borderId="62" xfId="0" applyNumberFormat="1" applyFont="1" applyFill="1" applyBorder="1" applyAlignment="1" applyProtection="1">
      <alignment/>
      <protection/>
    </xf>
    <xf numFmtId="169" fontId="4" fillId="41" borderId="0" xfId="0" applyNumberFormat="1" applyFont="1" applyFill="1" applyBorder="1" applyAlignment="1" applyProtection="1">
      <alignment/>
      <protection/>
    </xf>
    <xf numFmtId="169" fontId="4" fillId="41" borderId="62" xfId="0" applyNumberFormat="1" applyFont="1" applyFill="1" applyBorder="1" applyAlignment="1" applyProtection="1">
      <alignment/>
      <protection/>
    </xf>
    <xf numFmtId="0" fontId="4" fillId="36" borderId="0" xfId="0" applyFont="1" applyFill="1" applyBorder="1" applyAlignment="1">
      <alignment/>
    </xf>
    <xf numFmtId="0" fontId="4" fillId="36" borderId="62" xfId="0" applyFont="1" applyFill="1" applyBorder="1" applyAlignment="1">
      <alignment/>
    </xf>
    <xf numFmtId="173" fontId="4" fillId="36" borderId="0" xfId="0" applyNumberFormat="1" applyFont="1" applyFill="1" applyBorder="1" applyAlignment="1" applyProtection="1">
      <alignment/>
      <protection/>
    </xf>
    <xf numFmtId="173" fontId="4" fillId="36" borderId="62" xfId="0" applyNumberFormat="1" applyFont="1" applyFill="1" applyBorder="1" applyAlignment="1" applyProtection="1">
      <alignment/>
      <protection/>
    </xf>
    <xf numFmtId="169" fontId="4" fillId="36" borderId="62" xfId="0" applyNumberFormat="1" applyFont="1" applyFill="1" applyBorder="1" applyAlignment="1">
      <alignment/>
    </xf>
    <xf numFmtId="169" fontId="4" fillId="36" borderId="0" xfId="0" applyNumberFormat="1" applyFont="1" applyFill="1" applyBorder="1" applyAlignment="1">
      <alignment/>
    </xf>
    <xf numFmtId="44" fontId="4" fillId="36" borderId="0" xfId="0" applyNumberFormat="1" applyFont="1" applyFill="1" applyBorder="1" applyAlignment="1">
      <alignment/>
    </xf>
    <xf numFmtId="2" fontId="4" fillId="36" borderId="0" xfId="0" applyNumberFormat="1" applyFont="1" applyFill="1" applyBorder="1" applyAlignment="1">
      <alignment/>
    </xf>
    <xf numFmtId="0" fontId="0" fillId="38" borderId="43" xfId="0" applyFont="1" applyFill="1" applyBorder="1" applyAlignment="1">
      <alignment/>
    </xf>
    <xf numFmtId="0" fontId="4" fillId="41" borderId="67" xfId="0" applyFont="1" applyFill="1" applyBorder="1" applyAlignment="1">
      <alignment/>
    </xf>
    <xf numFmtId="0" fontId="4" fillId="41" borderId="36" xfId="0" applyFont="1" applyFill="1" applyBorder="1" applyAlignment="1">
      <alignment/>
    </xf>
    <xf numFmtId="0" fontId="4" fillId="36" borderId="36" xfId="0" applyFont="1" applyFill="1" applyBorder="1" applyAlignment="1">
      <alignment/>
    </xf>
    <xf numFmtId="0" fontId="17" fillId="36" borderId="0" xfId="0" applyFont="1" applyFill="1" applyBorder="1" applyAlignment="1">
      <alignment horizontal="left"/>
    </xf>
    <xf numFmtId="175" fontId="4" fillId="40" borderId="13" xfId="0" applyNumberFormat="1" applyFont="1" applyFill="1" applyBorder="1" applyAlignment="1">
      <alignment/>
    </xf>
    <xf numFmtId="9" fontId="4" fillId="36" borderId="30" xfId="0" applyNumberFormat="1" applyFont="1" applyFill="1" applyBorder="1" applyAlignment="1">
      <alignment horizontal="right"/>
    </xf>
    <xf numFmtId="9" fontId="4" fillId="36" borderId="23" xfId="0" applyNumberFormat="1" applyFont="1" applyFill="1" applyBorder="1" applyAlignment="1">
      <alignment horizontal="right"/>
    </xf>
    <xf numFmtId="9" fontId="4" fillId="36" borderId="68" xfId="0" applyNumberFormat="1" applyFont="1" applyFill="1" applyBorder="1" applyAlignment="1">
      <alignment horizontal="right"/>
    </xf>
    <xf numFmtId="0" fontId="17" fillId="36" borderId="57" xfId="0" applyFont="1" applyFill="1" applyBorder="1" applyAlignment="1">
      <alignment horizontal="right"/>
    </xf>
    <xf numFmtId="9" fontId="4" fillId="36" borderId="48" xfId="59" applyFont="1" applyFill="1" applyBorder="1" applyAlignment="1">
      <alignment/>
    </xf>
    <xf numFmtId="9" fontId="4" fillId="36" borderId="38" xfId="59" applyFont="1" applyFill="1" applyBorder="1" applyAlignment="1">
      <alignment/>
    </xf>
    <xf numFmtId="10" fontId="4" fillId="36" borderId="38" xfId="59" applyNumberFormat="1" applyFont="1" applyFill="1" applyBorder="1" applyAlignment="1">
      <alignment/>
    </xf>
    <xf numFmtId="2" fontId="4" fillId="0" borderId="0" xfId="0" applyNumberFormat="1" applyFont="1" applyFill="1" applyBorder="1" applyAlignment="1">
      <alignment/>
    </xf>
    <xf numFmtId="9" fontId="4" fillId="36" borderId="0" xfId="59" applyFont="1" applyFill="1" applyBorder="1" applyAlignment="1">
      <alignment/>
    </xf>
    <xf numFmtId="9" fontId="4" fillId="36" borderId="41" xfId="59" applyFont="1" applyFill="1" applyBorder="1" applyAlignment="1">
      <alignment/>
    </xf>
    <xf numFmtId="176" fontId="4" fillId="36" borderId="0" xfId="0" applyNumberFormat="1" applyFont="1" applyFill="1" applyBorder="1" applyAlignment="1" applyProtection="1">
      <alignment horizontal="right"/>
      <protection/>
    </xf>
    <xf numFmtId="175" fontId="4" fillId="36" borderId="0" xfId="0" applyNumberFormat="1" applyFont="1" applyFill="1" applyBorder="1" applyAlignment="1" applyProtection="1">
      <alignment horizontal="right"/>
      <protection/>
    </xf>
    <xf numFmtId="175" fontId="4" fillId="36" borderId="62" xfId="0" applyNumberFormat="1" applyFont="1" applyFill="1" applyBorder="1" applyAlignment="1" applyProtection="1">
      <alignment horizontal="right"/>
      <protection/>
    </xf>
    <xf numFmtId="169" fontId="4" fillId="36" borderId="0" xfId="0" applyNumberFormat="1" applyFont="1" applyFill="1" applyBorder="1" applyAlignment="1">
      <alignment horizontal="right"/>
    </xf>
    <xf numFmtId="0" fontId="17" fillId="36" borderId="0" xfId="0" applyFont="1" applyFill="1" applyBorder="1" applyAlignment="1">
      <alignment horizontal="right"/>
    </xf>
    <xf numFmtId="9" fontId="4" fillId="36" borderId="0" xfId="59" applyFont="1" applyFill="1" applyBorder="1" applyAlignment="1">
      <alignment horizontal="right"/>
    </xf>
    <xf numFmtId="2" fontId="4" fillId="36" borderId="0" xfId="0" applyNumberFormat="1" applyFont="1" applyFill="1" applyBorder="1" applyAlignment="1">
      <alignment horizontal="right"/>
    </xf>
    <xf numFmtId="2" fontId="4" fillId="36" borderId="62" xfId="0" applyNumberFormat="1" applyFont="1" applyFill="1" applyBorder="1" applyAlignment="1">
      <alignment horizontal="right"/>
    </xf>
    <xf numFmtId="44" fontId="4" fillId="36" borderId="0" xfId="0" applyNumberFormat="1" applyFont="1" applyFill="1" applyBorder="1" applyAlignment="1">
      <alignment horizontal="right"/>
    </xf>
    <xf numFmtId="9" fontId="4" fillId="36" borderId="60" xfId="59" applyFont="1" applyFill="1" applyBorder="1" applyAlignment="1">
      <alignment/>
    </xf>
    <xf numFmtId="2" fontId="4" fillId="36" borderId="60" xfId="0" applyNumberFormat="1" applyFont="1" applyFill="1" applyBorder="1" applyAlignment="1">
      <alignment/>
    </xf>
    <xf numFmtId="2" fontId="4" fillId="36" borderId="62" xfId="0" applyNumberFormat="1" applyFont="1" applyFill="1" applyBorder="1" applyAlignment="1">
      <alignment/>
    </xf>
    <xf numFmtId="0" fontId="4" fillId="36" borderId="69" xfId="0" applyFont="1" applyFill="1" applyBorder="1" applyAlignment="1">
      <alignment/>
    </xf>
    <xf numFmtId="179" fontId="4" fillId="36" borderId="0" xfId="0" applyNumberFormat="1" applyFont="1" applyFill="1" applyBorder="1" applyAlignment="1" applyProtection="1">
      <alignment horizontal="right"/>
      <protection/>
    </xf>
    <xf numFmtId="179" fontId="4" fillId="36" borderId="62" xfId="0" applyNumberFormat="1" applyFont="1" applyFill="1" applyBorder="1" applyAlignment="1" applyProtection="1">
      <alignment horizontal="right"/>
      <protection/>
    </xf>
    <xf numFmtId="164" fontId="4" fillId="36" borderId="0" xfId="59" applyNumberFormat="1" applyFont="1" applyFill="1" applyBorder="1" applyAlignment="1" applyProtection="1">
      <alignment horizontal="right"/>
      <protection/>
    </xf>
    <xf numFmtId="164" fontId="4" fillId="36" borderId="62" xfId="59" applyNumberFormat="1" applyFont="1" applyFill="1" applyBorder="1" applyAlignment="1" applyProtection="1">
      <alignment horizontal="right"/>
      <protection/>
    </xf>
    <xf numFmtId="0" fontId="4" fillId="41" borderId="57" xfId="0" applyFont="1" applyFill="1" applyBorder="1" applyAlignment="1">
      <alignment/>
    </xf>
    <xf numFmtId="164" fontId="4" fillId="41" borderId="0" xfId="59" applyNumberFormat="1" applyFont="1" applyFill="1" applyBorder="1" applyAlignment="1" applyProtection="1">
      <alignment horizontal="right"/>
      <protection/>
    </xf>
    <xf numFmtId="164" fontId="4" fillId="41" borderId="62" xfId="59" applyNumberFormat="1" applyFont="1" applyFill="1" applyBorder="1" applyAlignment="1" applyProtection="1">
      <alignment horizontal="right"/>
      <protection/>
    </xf>
    <xf numFmtId="180" fontId="4" fillId="36" borderId="62" xfId="0" applyNumberFormat="1" applyFont="1" applyFill="1" applyBorder="1" applyAlignment="1" applyProtection="1">
      <alignment/>
      <protection/>
    </xf>
    <xf numFmtId="4" fontId="4" fillId="36" borderId="0" xfId="0" applyNumberFormat="1" applyFont="1" applyFill="1" applyBorder="1" applyAlignment="1" applyProtection="1">
      <alignment horizontal="right"/>
      <protection/>
    </xf>
    <xf numFmtId="4" fontId="4" fillId="36" borderId="0" xfId="0" applyNumberFormat="1" applyFont="1" applyFill="1" applyBorder="1" applyAlignment="1">
      <alignment horizontal="right"/>
    </xf>
    <xf numFmtId="0" fontId="17" fillId="36" borderId="62" xfId="0" applyFont="1" applyFill="1" applyBorder="1" applyAlignment="1">
      <alignment horizontal="right"/>
    </xf>
    <xf numFmtId="180" fontId="4" fillId="36" borderId="0" xfId="0" applyNumberFormat="1" applyFont="1" applyFill="1" applyBorder="1" applyAlignment="1">
      <alignment horizontal="right"/>
    </xf>
    <xf numFmtId="0" fontId="15" fillId="36" borderId="0" xfId="0" applyFont="1" applyFill="1" applyBorder="1" applyAlignment="1">
      <alignment/>
    </xf>
    <xf numFmtId="0" fontId="18" fillId="36" borderId="0" xfId="0" applyFont="1" applyFill="1" applyBorder="1" applyAlignment="1" applyProtection="1">
      <alignment horizontal="center"/>
      <protection/>
    </xf>
    <xf numFmtId="0" fontId="4" fillId="36" borderId="57" xfId="0" applyFont="1" applyFill="1" applyBorder="1" applyAlignment="1" applyProtection="1" quotePrefix="1">
      <alignment/>
      <protection/>
    </xf>
    <xf numFmtId="168" fontId="4" fillId="36" borderId="0" xfId="0" applyNumberFormat="1" applyFont="1" applyFill="1" applyBorder="1" applyAlignment="1">
      <alignment/>
    </xf>
    <xf numFmtId="168" fontId="4" fillId="36" borderId="62" xfId="0" applyNumberFormat="1" applyFont="1" applyFill="1" applyBorder="1" applyAlignment="1">
      <alignment/>
    </xf>
    <xf numFmtId="3" fontId="5" fillId="34" borderId="24" xfId="42" applyNumberFormat="1" applyFont="1" applyFill="1" applyBorder="1" applyAlignment="1" applyProtection="1">
      <alignment/>
      <protection locked="0"/>
    </xf>
    <xf numFmtId="3" fontId="5" fillId="0" borderId="50" xfId="42" applyNumberFormat="1" applyFont="1" applyFill="1" applyBorder="1" applyAlignment="1" applyProtection="1">
      <alignment/>
      <protection locked="0"/>
    </xf>
    <xf numFmtId="3" fontId="0" fillId="33" borderId="18" xfId="0" applyNumberFormat="1" applyFont="1" applyFill="1" applyBorder="1" applyAlignment="1">
      <alignment/>
    </xf>
    <xf numFmtId="3" fontId="0" fillId="0" borderId="48" xfId="0" applyNumberFormat="1" applyFont="1" applyBorder="1" applyAlignment="1">
      <alignment/>
    </xf>
    <xf numFmtId="3" fontId="0" fillId="0" borderId="49" xfId="0" applyNumberFormat="1" applyFont="1" applyBorder="1" applyAlignment="1">
      <alignment/>
    </xf>
    <xf numFmtId="0" fontId="0" fillId="42" borderId="21" xfId="0" applyFont="1" applyFill="1" applyBorder="1" applyAlignment="1">
      <alignment/>
    </xf>
    <xf numFmtId="0" fontId="4" fillId="42" borderId="24" xfId="0" applyFont="1" applyFill="1" applyBorder="1" applyAlignment="1" applyProtection="1">
      <alignment horizontal="left"/>
      <protection/>
    </xf>
    <xf numFmtId="9" fontId="4" fillId="0" borderId="0" xfId="59" applyFont="1" applyFill="1" applyBorder="1" applyAlignment="1">
      <alignment/>
    </xf>
    <xf numFmtId="9" fontId="4" fillId="0" borderId="0" xfId="59" applyFont="1" applyFill="1" applyBorder="1" applyAlignment="1">
      <alignment/>
    </xf>
    <xf numFmtId="9" fontId="4" fillId="0" borderId="0" xfId="59" applyFont="1" applyFill="1" applyBorder="1" applyAlignment="1">
      <alignment horizontal="right"/>
    </xf>
    <xf numFmtId="201" fontId="4" fillId="36" borderId="0" xfId="0" applyNumberFormat="1" applyFont="1" applyFill="1" applyBorder="1" applyAlignment="1" applyProtection="1">
      <alignment horizontal="right"/>
      <protection/>
    </xf>
    <xf numFmtId="3" fontId="0" fillId="0" borderId="13" xfId="0" applyNumberFormat="1" applyFont="1" applyBorder="1" applyAlignment="1">
      <alignment/>
    </xf>
    <xf numFmtId="3" fontId="0" fillId="0" borderId="13" xfId="0" applyNumberFormat="1" applyFont="1" applyFill="1" applyBorder="1" applyAlignment="1">
      <alignment/>
    </xf>
    <xf numFmtId="3" fontId="0" fillId="0" borderId="13" xfId="0" applyNumberFormat="1" applyFont="1" applyFill="1" applyBorder="1" applyAlignment="1">
      <alignment wrapText="1"/>
    </xf>
    <xf numFmtId="0" fontId="0" fillId="0" borderId="13" xfId="0" applyFont="1" applyBorder="1" applyAlignment="1">
      <alignment/>
    </xf>
    <xf numFmtId="0" fontId="0" fillId="36" borderId="0" xfId="0" applyFont="1" applyFill="1" applyBorder="1" applyAlignment="1" applyProtection="1">
      <alignment/>
      <protection/>
    </xf>
    <xf numFmtId="0" fontId="4" fillId="0" borderId="23" xfId="0" applyFont="1" applyBorder="1" applyAlignment="1">
      <alignment horizontal="right"/>
    </xf>
    <xf numFmtId="0" fontId="56" fillId="0" borderId="0" xfId="0" applyFont="1" applyAlignment="1">
      <alignment/>
    </xf>
    <xf numFmtId="3" fontId="4" fillId="34" borderId="0" xfId="44" applyNumberFormat="1" applyFont="1" applyFill="1" applyBorder="1" applyAlignment="1">
      <alignment/>
    </xf>
    <xf numFmtId="3" fontId="4" fillId="34" borderId="0" xfId="0" applyNumberFormat="1" applyFont="1" applyFill="1" applyBorder="1" applyAlignment="1" applyProtection="1">
      <alignment/>
      <protection/>
    </xf>
    <xf numFmtId="169" fontId="4" fillId="34" borderId="13" xfId="0" applyNumberFormat="1" applyFont="1" applyFill="1" applyBorder="1" applyAlignment="1">
      <alignment horizontal="right"/>
    </xf>
    <xf numFmtId="167" fontId="4" fillId="34" borderId="13" xfId="44" applyNumberFormat="1" applyFont="1" applyFill="1" applyBorder="1" applyAlignment="1">
      <alignment/>
    </xf>
    <xf numFmtId="164" fontId="4" fillId="34" borderId="13" xfId="59" applyNumberFormat="1" applyFont="1" applyFill="1" applyBorder="1" applyAlignment="1">
      <alignment/>
    </xf>
    <xf numFmtId="171" fontId="0" fillId="0" borderId="13" xfId="44" applyNumberFormat="1" applyFont="1" applyBorder="1" applyAlignment="1">
      <alignment/>
    </xf>
    <xf numFmtId="3" fontId="57" fillId="0" borderId="13" xfId="0" applyNumberFormat="1" applyFont="1" applyBorder="1" applyAlignment="1">
      <alignment/>
    </xf>
    <xf numFmtId="3" fontId="0" fillId="0" borderId="13" xfId="0" applyNumberFormat="1" applyFont="1" applyFill="1" applyBorder="1" applyAlignment="1" applyProtection="1">
      <alignment/>
      <protection locked="0"/>
    </xf>
    <xf numFmtId="3" fontId="0" fillId="0" borderId="13" xfId="0" applyNumberFormat="1" applyFont="1" applyBorder="1" applyAlignment="1" applyProtection="1">
      <alignment/>
      <protection locked="0"/>
    </xf>
    <xf numFmtId="3" fontId="5" fillId="43" borderId="13" xfId="42" applyNumberFormat="1" applyFont="1" applyFill="1" applyBorder="1" applyAlignment="1" applyProtection="1">
      <alignment/>
      <protection locked="0"/>
    </xf>
    <xf numFmtId="4" fontId="4" fillId="0" borderId="13" xfId="42" applyNumberFormat="1" applyFont="1" applyFill="1" applyBorder="1" applyAlignment="1" applyProtection="1">
      <alignment/>
      <protection locked="0"/>
    </xf>
    <xf numFmtId="3" fontId="0" fillId="0" borderId="13" xfId="42" applyNumberFormat="1" applyFont="1" applyFill="1" applyBorder="1" applyAlignment="1" applyProtection="1">
      <alignment/>
      <protection locked="0"/>
    </xf>
    <xf numFmtId="0" fontId="4" fillId="0" borderId="36" xfId="0" applyFont="1" applyBorder="1" applyAlignment="1">
      <alignment/>
    </xf>
    <xf numFmtId="164" fontId="4" fillId="0" borderId="36" xfId="0" applyNumberFormat="1" applyFont="1" applyBorder="1" applyAlignment="1">
      <alignment/>
    </xf>
    <xf numFmtId="0" fontId="0" fillId="0" borderId="30" xfId="0" applyFont="1" applyBorder="1" applyAlignment="1">
      <alignment/>
    </xf>
    <xf numFmtId="164" fontId="0" fillId="0" borderId="21" xfId="0" applyNumberFormat="1" applyFont="1" applyBorder="1" applyAlignment="1">
      <alignment/>
    </xf>
    <xf numFmtId="164" fontId="0" fillId="0" borderId="13" xfId="0" applyNumberFormat="1" applyFont="1" applyBorder="1" applyAlignment="1">
      <alignment/>
    </xf>
    <xf numFmtId="0" fontId="4" fillId="35" borderId="13" xfId="0" applyFont="1" applyFill="1" applyBorder="1" applyAlignment="1">
      <alignment/>
    </xf>
    <xf numFmtId="164" fontId="4" fillId="35" borderId="13" xfId="0" applyNumberFormat="1" applyFont="1" applyFill="1" applyBorder="1" applyAlignment="1">
      <alignment/>
    </xf>
    <xf numFmtId="164" fontId="0" fillId="0" borderId="13" xfId="59" applyNumberFormat="1" applyFont="1" applyBorder="1" applyAlignment="1">
      <alignment/>
    </xf>
    <xf numFmtId="164" fontId="4" fillId="35" borderId="13" xfId="59" applyNumberFormat="1" applyFont="1" applyFill="1" applyBorder="1" applyAlignment="1">
      <alignment/>
    </xf>
    <xf numFmtId="164" fontId="4" fillId="35" borderId="13" xfId="0" applyNumberFormat="1" applyFont="1" applyFill="1" applyBorder="1" applyAlignment="1">
      <alignment horizontal="right"/>
    </xf>
    <xf numFmtId="164" fontId="0" fillId="0" borderId="13" xfId="0" applyNumberFormat="1" applyFont="1" applyBorder="1" applyAlignment="1">
      <alignment horizontal="right"/>
    </xf>
    <xf numFmtId="0" fontId="4" fillId="35" borderId="24" xfId="0" applyFont="1" applyFill="1" applyBorder="1" applyAlignment="1">
      <alignment/>
    </xf>
    <xf numFmtId="164" fontId="4" fillId="0" borderId="0" xfId="0" applyNumberFormat="1" applyFont="1" applyBorder="1" applyAlignment="1">
      <alignment horizontal="right"/>
    </xf>
    <xf numFmtId="0" fontId="0" fillId="0" borderId="24" xfId="0" applyFont="1" applyBorder="1" applyAlignment="1">
      <alignment/>
    </xf>
    <xf numFmtId="0" fontId="0" fillId="0" borderId="13" xfId="0" applyFont="1" applyFill="1" applyBorder="1" applyAlignment="1">
      <alignment/>
    </xf>
    <xf numFmtId="164" fontId="0" fillId="0" borderId="13" xfId="0" applyNumberFormat="1" applyFont="1" applyFill="1" applyBorder="1" applyAlignment="1">
      <alignment horizontal="right"/>
    </xf>
    <xf numFmtId="164" fontId="4" fillId="0" borderId="30" xfId="0" applyNumberFormat="1" applyFont="1" applyBorder="1" applyAlignment="1">
      <alignment horizontal="right"/>
    </xf>
    <xf numFmtId="164" fontId="4" fillId="0" borderId="23" xfId="0" applyNumberFormat="1" applyFont="1" applyBorder="1" applyAlignment="1">
      <alignment horizontal="right"/>
    </xf>
    <xf numFmtId="0" fontId="0" fillId="36" borderId="30" xfId="0" applyFont="1" applyFill="1" applyBorder="1" applyAlignment="1">
      <alignment/>
    </xf>
    <xf numFmtId="170" fontId="0" fillId="0" borderId="0" xfId="42" applyNumberFormat="1" applyFont="1" applyFill="1" applyBorder="1" applyAlignment="1">
      <alignment horizontal="right"/>
    </xf>
    <xf numFmtId="170" fontId="0" fillId="36" borderId="0" xfId="42" applyNumberFormat="1" applyFont="1" applyFill="1" applyBorder="1" applyAlignment="1">
      <alignment horizontal="right"/>
    </xf>
    <xf numFmtId="168" fontId="0" fillId="36"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0" fontId="0" fillId="36" borderId="0" xfId="0" applyNumberFormat="1" applyFont="1" applyFill="1" applyBorder="1" applyAlignment="1">
      <alignment/>
    </xf>
    <xf numFmtId="202" fontId="0" fillId="36" borderId="0" xfId="42" applyNumberFormat="1" applyFont="1" applyFill="1" applyBorder="1" applyAlignment="1">
      <alignment horizontal="right"/>
    </xf>
    <xf numFmtId="3" fontId="0" fillId="36" borderId="0" xfId="0" applyNumberFormat="1" applyFont="1" applyFill="1" applyBorder="1" applyAlignment="1">
      <alignment horizontal="right"/>
    </xf>
    <xf numFmtId="202" fontId="0" fillId="36" borderId="0" xfId="0" applyNumberFormat="1" applyFont="1" applyFill="1" applyBorder="1" applyAlignment="1">
      <alignment/>
    </xf>
    <xf numFmtId="174" fontId="4" fillId="0" borderId="0" xfId="0"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3" fontId="5" fillId="0" borderId="0" xfId="0" applyNumberFormat="1" applyFont="1" applyAlignment="1">
      <alignment/>
    </xf>
    <xf numFmtId="3" fontId="5" fillId="0" borderId="0" xfId="0" applyNumberFormat="1" applyFont="1" applyBorder="1" applyAlignment="1">
      <alignment/>
    </xf>
    <xf numFmtId="3" fontId="4" fillId="0" borderId="25" xfId="0" applyNumberFormat="1" applyFont="1" applyBorder="1" applyAlignment="1">
      <alignment/>
    </xf>
    <xf numFmtId="3" fontId="5" fillId="0" borderId="25" xfId="0" applyNumberFormat="1" applyFont="1" applyBorder="1" applyAlignment="1">
      <alignment/>
    </xf>
    <xf numFmtId="0" fontId="0" fillId="0" borderId="0" xfId="0" applyFont="1" applyAlignment="1">
      <alignment horizontal="right"/>
    </xf>
    <xf numFmtId="164" fontId="0" fillId="0" borderId="0" xfId="59" applyNumberFormat="1" applyFont="1" applyFill="1" applyBorder="1" applyAlignment="1" applyProtection="1">
      <alignment/>
      <protection/>
    </xf>
    <xf numFmtId="0" fontId="4" fillId="33" borderId="25" xfId="0" applyFont="1" applyFill="1" applyBorder="1" applyAlignment="1" applyProtection="1">
      <alignment horizontal="right"/>
      <protection/>
    </xf>
    <xf numFmtId="0" fontId="4" fillId="34" borderId="25" xfId="0" applyFont="1" applyFill="1" applyBorder="1" applyAlignment="1" applyProtection="1">
      <alignment horizontal="right"/>
      <protection/>
    </xf>
    <xf numFmtId="164" fontId="0" fillId="0" borderId="0" xfId="59" applyNumberFormat="1" applyFont="1" applyAlignment="1">
      <alignment/>
    </xf>
    <xf numFmtId="164" fontId="6" fillId="0" borderId="0" xfId="59" applyNumberFormat="1" applyFont="1" applyAlignment="1">
      <alignment/>
    </xf>
    <xf numFmtId="164" fontId="6" fillId="0" borderId="0" xfId="0" applyNumberFormat="1" applyFont="1" applyAlignment="1">
      <alignment/>
    </xf>
    <xf numFmtId="168" fontId="6" fillId="0" borderId="0" xfId="0" applyNumberFormat="1" applyFont="1" applyAlignment="1">
      <alignment/>
    </xf>
    <xf numFmtId="164" fontId="0" fillId="0" borderId="0" xfId="0" applyNumberFormat="1" applyFont="1" applyAlignment="1">
      <alignment/>
    </xf>
    <xf numFmtId="0" fontId="4" fillId="43" borderId="0" xfId="0" applyFont="1" applyFill="1" applyAlignment="1">
      <alignment horizontal="left"/>
    </xf>
    <xf numFmtId="44" fontId="4" fillId="0" borderId="13" xfId="44" applyFont="1" applyBorder="1" applyAlignment="1">
      <alignment/>
    </xf>
    <xf numFmtId="169" fontId="6" fillId="34" borderId="0" xfId="42" applyNumberFormat="1" applyFont="1" applyFill="1" applyBorder="1" applyAlignment="1">
      <alignment/>
    </xf>
    <xf numFmtId="170" fontId="4" fillId="0" borderId="25" xfId="42" applyNumberFormat="1" applyFont="1" applyFill="1" applyBorder="1" applyAlignment="1" applyProtection="1">
      <alignment/>
      <protection/>
    </xf>
    <xf numFmtId="164" fontId="7" fillId="0" borderId="0" xfId="59" applyNumberFormat="1" applyFont="1" applyFill="1" applyBorder="1" applyAlignment="1" applyProtection="1">
      <alignment/>
      <protection/>
    </xf>
    <xf numFmtId="164" fontId="7" fillId="0" borderId="0" xfId="59" applyNumberFormat="1" applyFont="1" applyFill="1" applyBorder="1" applyAlignment="1">
      <alignment/>
    </xf>
    <xf numFmtId="0" fontId="7" fillId="0" borderId="0" xfId="0" applyFont="1" applyAlignment="1">
      <alignment/>
    </xf>
    <xf numFmtId="0" fontId="19" fillId="36" borderId="0" xfId="0" applyFont="1" applyFill="1" applyBorder="1" applyAlignment="1" applyProtection="1">
      <alignment/>
      <protection/>
    </xf>
    <xf numFmtId="0" fontId="19" fillId="0" borderId="0" xfId="0" applyFont="1" applyBorder="1" applyAlignment="1" applyProtection="1">
      <alignment/>
      <protection/>
    </xf>
    <xf numFmtId="1" fontId="19" fillId="0" borderId="0" xfId="0" applyNumberFormat="1" applyFont="1" applyBorder="1" applyAlignment="1">
      <alignment/>
    </xf>
    <xf numFmtId="0" fontId="7" fillId="0" borderId="0" xfId="0" applyNumberFormat="1" applyFont="1" applyAlignment="1">
      <alignment/>
    </xf>
    <xf numFmtId="3" fontId="4" fillId="0" borderId="0" xfId="59" applyNumberFormat="1" applyFont="1" applyFill="1" applyBorder="1" applyAlignment="1" applyProtection="1">
      <alignment/>
      <protection/>
    </xf>
    <xf numFmtId="3" fontId="4" fillId="0" borderId="25" xfId="59" applyNumberFormat="1" applyFont="1" applyFill="1" applyBorder="1" applyAlignment="1" applyProtection="1">
      <alignment/>
      <protection/>
    </xf>
    <xf numFmtId="164" fontId="0" fillId="0" borderId="0" xfId="59" applyNumberFormat="1" applyFont="1" applyFill="1" applyAlignment="1">
      <alignment/>
    </xf>
    <xf numFmtId="3" fontId="6" fillId="34" borderId="0" xfId="42" applyNumberFormat="1" applyFont="1" applyFill="1" applyBorder="1" applyAlignment="1">
      <alignment/>
    </xf>
    <xf numFmtId="1" fontId="5" fillId="0" borderId="21" xfId="0" applyNumberFormat="1" applyFont="1" applyFill="1" applyBorder="1" applyAlignment="1">
      <alignment/>
    </xf>
    <xf numFmtId="1" fontId="4" fillId="0" borderId="0" xfId="0" applyNumberFormat="1" applyFont="1" applyFill="1" applyBorder="1" applyAlignment="1" applyProtection="1">
      <alignment horizontal="right"/>
      <protection/>
    </xf>
    <xf numFmtId="1" fontId="4" fillId="44" borderId="0" xfId="0" applyNumberFormat="1" applyFont="1" applyFill="1" applyBorder="1" applyAlignment="1">
      <alignment/>
    </xf>
    <xf numFmtId="1" fontId="0" fillId="0" borderId="0" xfId="0" applyNumberFormat="1" applyFont="1" applyFill="1" applyBorder="1" applyAlignment="1">
      <alignment/>
    </xf>
    <xf numFmtId="1" fontId="4" fillId="0" borderId="42" xfId="0" applyNumberFormat="1" applyFont="1" applyFill="1" applyBorder="1" applyAlignment="1">
      <alignment/>
    </xf>
    <xf numFmtId="0" fontId="0" fillId="0" borderId="15" xfId="0" applyFont="1" applyBorder="1" applyAlignment="1">
      <alignment/>
    </xf>
    <xf numFmtId="0" fontId="4" fillId="0" borderId="15" xfId="0" applyFont="1" applyFill="1" applyBorder="1" applyAlignment="1" applyProtection="1">
      <alignment horizontal="right"/>
      <protection/>
    </xf>
    <xf numFmtId="1" fontId="4" fillId="0" borderId="11" xfId="0" applyNumberFormat="1" applyFont="1" applyFill="1" applyBorder="1" applyAlignment="1">
      <alignment/>
    </xf>
    <xf numFmtId="1" fontId="4" fillId="44" borderId="19" xfId="0" applyNumberFormat="1" applyFont="1" applyFill="1" applyBorder="1" applyAlignment="1">
      <alignment/>
    </xf>
    <xf numFmtId="1" fontId="4" fillId="0" borderId="44" xfId="0" applyNumberFormat="1" applyFont="1" applyFill="1" applyBorder="1" applyAlignment="1">
      <alignment/>
    </xf>
    <xf numFmtId="2" fontId="0" fillId="0" borderId="0" xfId="59" applyNumberFormat="1" applyFont="1" applyFill="1" applyBorder="1" applyAlignment="1">
      <alignment/>
    </xf>
    <xf numFmtId="3" fontId="0" fillId="0" borderId="0" xfId="0" applyNumberFormat="1" applyFont="1" applyAlignment="1">
      <alignment/>
    </xf>
    <xf numFmtId="165" fontId="6" fillId="34" borderId="0" xfId="42" applyNumberFormat="1" applyFont="1" applyFill="1" applyBorder="1" applyAlignment="1">
      <alignment/>
    </xf>
    <xf numFmtId="10" fontId="0" fillId="0" borderId="0" xfId="59" applyNumberFormat="1" applyFont="1" applyAlignment="1">
      <alignment/>
    </xf>
    <xf numFmtId="10" fontId="0" fillId="0" borderId="0" xfId="59" applyNumberFormat="1" applyFont="1" applyFill="1" applyBorder="1" applyAlignment="1" applyProtection="1">
      <alignment/>
      <protection/>
    </xf>
    <xf numFmtId="10" fontId="6" fillId="34" borderId="0" xfId="0" applyNumberFormat="1" applyFont="1" applyFill="1" applyBorder="1" applyAlignment="1">
      <alignment/>
    </xf>
    <xf numFmtId="10" fontId="4" fillId="34" borderId="13" xfId="59" applyNumberFormat="1" applyFont="1" applyFill="1" applyBorder="1" applyAlignment="1">
      <alignment/>
    </xf>
    <xf numFmtId="165" fontId="0" fillId="0" borderId="0" xfId="59" applyNumberFormat="1" applyFont="1" applyFill="1" applyBorder="1" applyAlignment="1">
      <alignment/>
    </xf>
    <xf numFmtId="2" fontId="0" fillId="0" borderId="13" xfId="59" applyNumberFormat="1" applyFont="1" applyBorder="1" applyAlignment="1">
      <alignment/>
    </xf>
    <xf numFmtId="0" fontId="0" fillId="0" borderId="11" xfId="0" applyFont="1" applyBorder="1" applyAlignment="1">
      <alignment/>
    </xf>
    <xf numFmtId="1" fontId="5" fillId="0" borderId="11" xfId="0" applyNumberFormat="1" applyFont="1" applyFill="1" applyBorder="1" applyAlignment="1">
      <alignment/>
    </xf>
    <xf numFmtId="169" fontId="5" fillId="34" borderId="0" xfId="44" applyNumberFormat="1" applyFont="1" applyFill="1" applyBorder="1" applyAlignment="1">
      <alignment/>
    </xf>
    <xf numFmtId="164" fontId="0" fillId="0" borderId="13" xfId="59" applyNumberFormat="1" applyFont="1" applyBorder="1" applyAlignment="1" applyProtection="1">
      <alignment/>
      <protection locked="0"/>
    </xf>
    <xf numFmtId="169" fontId="0" fillId="0" borderId="13" xfId="0" applyNumberFormat="1" applyFont="1" applyFill="1" applyBorder="1" applyAlignment="1" applyProtection="1">
      <alignment/>
      <protection locked="0"/>
    </xf>
    <xf numFmtId="165" fontId="0" fillId="0" borderId="13" xfId="59" applyNumberFormat="1" applyFont="1" applyBorder="1" applyAlignment="1">
      <alignment/>
    </xf>
    <xf numFmtId="169" fontId="0" fillId="0" borderId="13" xfId="0" applyNumberFormat="1" applyFont="1" applyBorder="1" applyAlignment="1">
      <alignment/>
    </xf>
    <xf numFmtId="3" fontId="4" fillId="36" borderId="62" xfId="0" applyNumberFormat="1" applyFont="1" applyFill="1" applyBorder="1" applyAlignment="1" applyProtection="1">
      <alignment horizontal="right"/>
      <protection/>
    </xf>
    <xf numFmtId="3" fontId="4" fillId="41" borderId="0" xfId="0" applyNumberFormat="1" applyFont="1" applyFill="1" applyBorder="1" applyAlignment="1" applyProtection="1">
      <alignment horizontal="right"/>
      <protection/>
    </xf>
    <xf numFmtId="169" fontId="0" fillId="0" borderId="0" xfId="0" applyNumberFormat="1" applyFont="1" applyAlignment="1">
      <alignment/>
    </xf>
    <xf numFmtId="2" fontId="4" fillId="44" borderId="13" xfId="0" applyNumberFormat="1" applyFont="1" applyFill="1" applyBorder="1" applyAlignment="1">
      <alignment/>
    </xf>
    <xf numFmtId="180" fontId="0" fillId="0" borderId="0" xfId="0" applyNumberFormat="1" applyFont="1" applyAlignment="1">
      <alignment/>
    </xf>
    <xf numFmtId="169" fontId="4" fillId="0" borderId="0" xfId="0" applyNumberFormat="1" applyFont="1" applyFill="1" applyBorder="1" applyAlignment="1">
      <alignment/>
    </xf>
    <xf numFmtId="0" fontId="57" fillId="0" borderId="0" xfId="0" applyFont="1" applyAlignment="1">
      <alignment/>
    </xf>
    <xf numFmtId="10" fontId="4" fillId="36" borderId="0" xfId="59" applyNumberFormat="1" applyFont="1" applyFill="1" applyBorder="1" applyAlignment="1">
      <alignment/>
    </xf>
    <xf numFmtId="171" fontId="5" fillId="34" borderId="13" xfId="44" applyNumberFormat="1" applyFont="1" applyFill="1" applyBorder="1" applyAlignment="1">
      <alignment/>
    </xf>
    <xf numFmtId="2" fontId="0" fillId="0" borderId="0" xfId="0" applyNumberFormat="1" applyFont="1" applyFill="1" applyBorder="1" applyAlignment="1">
      <alignment/>
    </xf>
    <xf numFmtId="4" fontId="16" fillId="0" borderId="0" xfId="0" applyNumberFormat="1" applyFont="1" applyAlignment="1">
      <alignment/>
    </xf>
    <xf numFmtId="2" fontId="16" fillId="33" borderId="13" xfId="0" applyNumberFormat="1" applyFont="1" applyFill="1" applyBorder="1" applyAlignment="1">
      <alignment/>
    </xf>
    <xf numFmtId="181" fontId="4" fillId="36" borderId="0" xfId="0" applyNumberFormat="1" applyFont="1" applyFill="1" applyBorder="1" applyAlignment="1">
      <alignment/>
    </xf>
    <xf numFmtId="174" fontId="4" fillId="36" borderId="13" xfId="0" applyNumberFormat="1" applyFont="1" applyFill="1" applyBorder="1" applyAlignment="1">
      <alignment/>
    </xf>
    <xf numFmtId="169" fontId="4" fillId="41" borderId="62" xfId="42" applyNumberFormat="1" applyFont="1" applyFill="1" applyBorder="1" applyAlignment="1">
      <alignment/>
    </xf>
    <xf numFmtId="3" fontId="4" fillId="33" borderId="24" xfId="0" applyNumberFormat="1" applyFont="1" applyFill="1" applyBorder="1" applyAlignment="1" applyProtection="1">
      <alignment/>
      <protection/>
    </xf>
    <xf numFmtId="1" fontId="5" fillId="0" borderId="12" xfId="0" applyNumberFormat="1" applyFont="1" applyFill="1" applyBorder="1" applyAlignment="1">
      <alignment/>
    </xf>
    <xf numFmtId="3" fontId="4" fillId="34" borderId="70" xfId="0" applyNumberFormat="1" applyFont="1" applyFill="1" applyBorder="1" applyAlignment="1">
      <alignment/>
    </xf>
    <xf numFmtId="164" fontId="6" fillId="0" borderId="19" xfId="59" applyNumberFormat="1" applyFont="1" applyBorder="1" applyAlignment="1">
      <alignment/>
    </xf>
    <xf numFmtId="1" fontId="4" fillId="0" borderId="71" xfId="0" applyNumberFormat="1" applyFont="1" applyFill="1" applyBorder="1" applyAlignment="1">
      <alignment/>
    </xf>
    <xf numFmtId="1" fontId="4" fillId="0" borderId="12" xfId="0" applyNumberFormat="1" applyFont="1" applyFill="1" applyBorder="1" applyAlignment="1">
      <alignment/>
    </xf>
    <xf numFmtId="169" fontId="4" fillId="0" borderId="0" xfId="44" applyNumberFormat="1" applyFont="1" applyFill="1" applyBorder="1" applyAlignment="1">
      <alignment/>
    </xf>
    <xf numFmtId="173" fontId="4" fillId="36" borderId="23" xfId="0" applyNumberFormat="1" applyFont="1" applyFill="1" applyBorder="1" applyAlignment="1" applyProtection="1">
      <alignment/>
      <protection/>
    </xf>
    <xf numFmtId="169" fontId="4" fillId="36" borderId="25" xfId="0" applyNumberFormat="1" applyFont="1" applyFill="1" applyBorder="1" applyAlignment="1" applyProtection="1">
      <alignment/>
      <protection/>
    </xf>
    <xf numFmtId="169" fontId="4" fillId="36" borderId="23" xfId="44" applyNumberFormat="1" applyFont="1" applyFill="1" applyBorder="1" applyAlignment="1">
      <alignment/>
    </xf>
    <xf numFmtId="169" fontId="4" fillId="36" borderId="68" xfId="44" applyNumberFormat="1" applyFont="1" applyFill="1" applyBorder="1" applyAlignment="1">
      <alignment/>
    </xf>
    <xf numFmtId="169" fontId="4" fillId="36" borderId="23" xfId="0" applyNumberFormat="1" applyFont="1" applyFill="1" applyBorder="1" applyAlignment="1" applyProtection="1">
      <alignment/>
      <protection/>
    </xf>
    <xf numFmtId="169" fontId="4" fillId="36" borderId="68" xfId="0" applyNumberFormat="1" applyFont="1" applyFill="1" applyBorder="1" applyAlignment="1" applyProtection="1">
      <alignment/>
      <protection/>
    </xf>
    <xf numFmtId="169" fontId="4" fillId="36" borderId="23" xfId="0" applyNumberFormat="1" applyFont="1" applyFill="1" applyBorder="1" applyAlignment="1">
      <alignment/>
    </xf>
    <xf numFmtId="174" fontId="4" fillId="36" borderId="23" xfId="0" applyNumberFormat="1" applyFont="1" applyFill="1" applyBorder="1" applyAlignment="1" applyProtection="1">
      <alignment/>
      <protection/>
    </xf>
    <xf numFmtId="44" fontId="4" fillId="40" borderId="42" xfId="44" applyFont="1" applyFill="1" applyBorder="1" applyAlignment="1" applyProtection="1">
      <alignment/>
      <protection/>
    </xf>
    <xf numFmtId="44" fontId="4" fillId="40" borderId="42" xfId="44" applyFont="1" applyFill="1" applyBorder="1" applyAlignment="1" applyProtection="1">
      <alignment horizontal="right"/>
      <protection/>
    </xf>
    <xf numFmtId="164" fontId="4" fillId="36" borderId="23" xfId="59" applyNumberFormat="1" applyFont="1" applyFill="1" applyBorder="1" applyAlignment="1" applyProtection="1">
      <alignment horizontal="right"/>
      <protection/>
    </xf>
    <xf numFmtId="164" fontId="4" fillId="36" borderId="68" xfId="59" applyNumberFormat="1" applyFont="1" applyFill="1" applyBorder="1" applyAlignment="1" applyProtection="1">
      <alignment horizontal="right"/>
      <protection/>
    </xf>
    <xf numFmtId="180" fontId="4" fillId="36" borderId="23" xfId="0" applyNumberFormat="1" applyFont="1" applyFill="1" applyBorder="1" applyAlignment="1" applyProtection="1">
      <alignment horizontal="right"/>
      <protection/>
    </xf>
    <xf numFmtId="180" fontId="4" fillId="36" borderId="25" xfId="0" applyNumberFormat="1" applyFont="1" applyFill="1" applyBorder="1" applyAlignment="1" applyProtection="1">
      <alignment horizontal="right"/>
      <protection/>
    </xf>
    <xf numFmtId="4" fontId="4" fillId="36" borderId="23" xfId="0" applyNumberFormat="1" applyFont="1" applyFill="1" applyBorder="1" applyAlignment="1">
      <alignment horizontal="right"/>
    </xf>
    <xf numFmtId="165" fontId="4" fillId="36" borderId="23" xfId="0" applyNumberFormat="1" applyFont="1" applyFill="1" applyBorder="1" applyAlignment="1">
      <alignment horizontal="right"/>
    </xf>
    <xf numFmtId="174" fontId="4" fillId="36" borderId="23" xfId="0" applyNumberFormat="1" applyFont="1" applyFill="1" applyBorder="1" applyAlignment="1" applyProtection="1">
      <alignment horizontal="right"/>
      <protection/>
    </xf>
    <xf numFmtId="169" fontId="4" fillId="36" borderId="23" xfId="0" applyNumberFormat="1" applyFont="1" applyFill="1" applyBorder="1" applyAlignment="1">
      <alignment horizontal="right"/>
    </xf>
    <xf numFmtId="169" fontId="4" fillId="36" borderId="23" xfId="0" applyNumberFormat="1" applyFont="1" applyFill="1" applyBorder="1" applyAlignment="1" applyProtection="1">
      <alignment horizontal="right"/>
      <protection/>
    </xf>
    <xf numFmtId="169" fontId="4" fillId="36" borderId="68" xfId="0" applyNumberFormat="1" applyFont="1" applyFill="1" applyBorder="1" applyAlignment="1" applyProtection="1">
      <alignment horizontal="right"/>
      <protection/>
    </xf>
    <xf numFmtId="169" fontId="4" fillId="36" borderId="25" xfId="0" applyNumberFormat="1" applyFont="1" applyFill="1" applyBorder="1" applyAlignment="1" applyProtection="1">
      <alignment horizontal="right"/>
      <protection/>
    </xf>
    <xf numFmtId="3" fontId="4" fillId="36" borderId="23" xfId="0" applyNumberFormat="1" applyFont="1" applyFill="1" applyBorder="1" applyAlignment="1" applyProtection="1">
      <alignment horizontal="right"/>
      <protection/>
    </xf>
    <xf numFmtId="173" fontId="4" fillId="36" borderId="23" xfId="0" applyNumberFormat="1" applyFont="1" applyFill="1" applyBorder="1" applyAlignment="1" applyProtection="1">
      <alignment horizontal="right"/>
      <protection/>
    </xf>
    <xf numFmtId="169" fontId="4" fillId="36" borderId="23" xfId="0" applyNumberFormat="1" applyFont="1" applyFill="1" applyBorder="1" applyAlignment="1">
      <alignment/>
    </xf>
    <xf numFmtId="174" fontId="4" fillId="36" borderId="23" xfId="0" applyNumberFormat="1" applyFont="1" applyFill="1" applyBorder="1" applyAlignment="1" applyProtection="1">
      <alignment/>
      <protection/>
    </xf>
    <xf numFmtId="44" fontId="4" fillId="40" borderId="42" xfId="44" applyFont="1" applyFill="1" applyBorder="1" applyAlignment="1" applyProtection="1">
      <alignment/>
      <protection/>
    </xf>
    <xf numFmtId="0" fontId="14"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159"/>
  <sheetViews>
    <sheetView tabSelected="1" zoomScalePageLayoutView="0" workbookViewId="0" topLeftCell="A121">
      <selection activeCell="A29" sqref="A29"/>
    </sheetView>
  </sheetViews>
  <sheetFormatPr defaultColWidth="9.140625" defaultRowHeight="12.75"/>
  <cols>
    <col min="1" max="1" width="44.140625" style="4" customWidth="1"/>
    <col min="2" max="7" width="10.7109375" style="4" customWidth="1"/>
    <col min="8" max="8" width="7.8515625" style="4" customWidth="1"/>
    <col min="9" max="9" width="12.28125" style="4" bestFit="1" customWidth="1"/>
    <col min="10" max="16384" width="9.140625" style="4" customWidth="1"/>
  </cols>
  <sheetData>
    <row r="1" spans="1:14" ht="12.75">
      <c r="A1" s="1" t="s">
        <v>741</v>
      </c>
      <c r="B1" s="2"/>
      <c r="C1" s="2"/>
      <c r="D1" s="2"/>
      <c r="E1" s="2"/>
      <c r="F1" s="2"/>
      <c r="G1" s="3"/>
      <c r="I1" s="5"/>
      <c r="J1" s="6"/>
      <c r="K1" s="6"/>
      <c r="L1" s="6"/>
      <c r="M1" s="7"/>
      <c r="N1" s="8"/>
    </row>
    <row r="2" spans="1:14" ht="12.75">
      <c r="A2" s="9" t="s">
        <v>742</v>
      </c>
      <c r="B2" s="10"/>
      <c r="C2" s="10"/>
      <c r="D2" s="10"/>
      <c r="E2" s="10"/>
      <c r="F2" s="10"/>
      <c r="G2" s="11"/>
      <c r="I2" s="9" t="s">
        <v>413</v>
      </c>
      <c r="J2" s="10"/>
      <c r="K2" s="10"/>
      <c r="L2" s="10"/>
      <c r="M2" s="11"/>
      <c r="N2" s="8"/>
    </row>
    <row r="3" spans="1:15" ht="13.5" thickBot="1">
      <c r="A3" s="12" t="s">
        <v>414</v>
      </c>
      <c r="B3" s="13"/>
      <c r="C3" s="13"/>
      <c r="D3" s="13"/>
      <c r="E3" s="13"/>
      <c r="F3" s="13"/>
      <c r="G3" s="14"/>
      <c r="I3" s="509"/>
      <c r="J3" s="10"/>
      <c r="K3" s="10"/>
      <c r="L3" s="10"/>
      <c r="M3" s="11"/>
      <c r="N3" s="510"/>
      <c r="O3" s="511"/>
    </row>
    <row r="4" spans="1:16" ht="12.75">
      <c r="A4" s="16"/>
      <c r="B4" s="16"/>
      <c r="C4" s="16"/>
      <c r="D4" s="16"/>
      <c r="E4" s="16"/>
      <c r="F4" s="16"/>
      <c r="G4" s="16"/>
      <c r="I4" s="28" t="s">
        <v>548</v>
      </c>
      <c r="J4" s="28"/>
      <c r="K4" s="28"/>
      <c r="L4" s="28"/>
      <c r="M4" s="28"/>
      <c r="N4" s="28"/>
      <c r="O4" s="28"/>
      <c r="P4" s="28"/>
    </row>
    <row r="5" spans="1:19" ht="12.75">
      <c r="A5" s="16"/>
      <c r="B5" s="16"/>
      <c r="C5" s="16"/>
      <c r="D5" s="16"/>
      <c r="E5" s="16"/>
      <c r="F5" s="16"/>
      <c r="G5" s="16"/>
      <c r="Q5" s="35"/>
      <c r="R5" s="35"/>
      <c r="S5" s="35"/>
    </row>
    <row r="6" spans="1:9" ht="12.75">
      <c r="A6" s="18" t="s">
        <v>532</v>
      </c>
      <c r="B6" s="16"/>
      <c r="C6" s="16"/>
      <c r="D6" s="16"/>
      <c r="E6" s="16"/>
      <c r="F6" s="16"/>
      <c r="G6" s="16"/>
      <c r="I6" s="4" t="s">
        <v>410</v>
      </c>
    </row>
    <row r="7" spans="1:9" ht="12.75">
      <c r="A7" s="16"/>
      <c r="B7" s="16"/>
      <c r="C7" s="16"/>
      <c r="D7" s="16"/>
      <c r="E7" s="16"/>
      <c r="F7" s="16"/>
      <c r="G7" s="16"/>
      <c r="I7" s="4" t="s">
        <v>411</v>
      </c>
    </row>
    <row r="8" spans="1:9" ht="12.75">
      <c r="A8" s="19"/>
      <c r="B8" s="19"/>
      <c r="C8" s="19"/>
      <c r="D8" s="19"/>
      <c r="E8" s="19"/>
      <c r="F8" s="19"/>
      <c r="G8" s="19"/>
      <c r="I8" s="4" t="s">
        <v>537</v>
      </c>
    </row>
    <row r="9" spans="1:9" ht="12.75">
      <c r="A9" s="20" t="s">
        <v>424</v>
      </c>
      <c r="B9" s="21" t="s">
        <v>266</v>
      </c>
      <c r="C9" s="22"/>
      <c r="D9" s="22"/>
      <c r="E9" s="22"/>
      <c r="F9" s="22"/>
      <c r="G9" s="23"/>
      <c r="I9" s="4" t="s">
        <v>267</v>
      </c>
    </row>
    <row r="10" spans="1:9" ht="12.75">
      <c r="A10" s="20" t="s">
        <v>425</v>
      </c>
      <c r="B10" s="21" t="s">
        <v>685</v>
      </c>
      <c r="C10" s="22"/>
      <c r="D10" s="22"/>
      <c r="E10" s="22"/>
      <c r="F10" s="22"/>
      <c r="G10" s="23"/>
      <c r="I10" s="4" t="s">
        <v>268</v>
      </c>
    </row>
    <row r="11" spans="1:9" ht="12.75">
      <c r="A11" s="20" t="s">
        <v>436</v>
      </c>
      <c r="B11" s="24">
        <v>2007</v>
      </c>
      <c r="C11" s="24">
        <v>2008</v>
      </c>
      <c r="D11" s="24">
        <v>2009</v>
      </c>
      <c r="E11" s="24">
        <v>2010</v>
      </c>
      <c r="F11" s="24">
        <v>2011</v>
      </c>
      <c r="G11" s="24">
        <v>2012</v>
      </c>
      <c r="I11" s="4" t="s">
        <v>412</v>
      </c>
    </row>
    <row r="12" spans="2:7" ht="12.75">
      <c r="B12" s="518"/>
      <c r="C12" s="518"/>
      <c r="D12" s="518"/>
      <c r="G12" s="531"/>
    </row>
    <row r="13" spans="1:7" ht="12.75">
      <c r="A13" s="25"/>
      <c r="B13" s="532"/>
      <c r="C13" s="532"/>
      <c r="D13" s="532"/>
      <c r="E13" s="26"/>
      <c r="F13" s="26"/>
      <c r="G13" s="26"/>
    </row>
    <row r="14" spans="1:9" ht="12.75">
      <c r="A14" s="25" t="s">
        <v>428</v>
      </c>
      <c r="B14" s="532"/>
      <c r="C14" s="532"/>
      <c r="D14" s="532"/>
      <c r="E14" s="26"/>
      <c r="F14" s="26"/>
      <c r="G14" s="26"/>
      <c r="I14" s="27" t="s">
        <v>497</v>
      </c>
    </row>
    <row r="15" spans="1:7" ht="12.75">
      <c r="A15" s="31" t="s">
        <v>358</v>
      </c>
      <c r="B15" s="532"/>
      <c r="C15" s="532"/>
      <c r="D15" s="532"/>
      <c r="E15" s="26"/>
      <c r="F15" s="26"/>
      <c r="G15" s="26"/>
    </row>
    <row r="16" spans="1:7" ht="12.75">
      <c r="A16" s="518" t="s">
        <v>567</v>
      </c>
      <c r="B16" s="28">
        <v>910</v>
      </c>
      <c r="C16" s="28">
        <v>2064</v>
      </c>
      <c r="D16" s="28">
        <v>3943</v>
      </c>
      <c r="E16" s="28">
        <v>5943</v>
      </c>
      <c r="F16" s="28">
        <v>4067</v>
      </c>
      <c r="G16" s="28">
        <v>6297</v>
      </c>
    </row>
    <row r="17" spans="1:11" ht="12.75">
      <c r="A17" s="518" t="s">
        <v>568</v>
      </c>
      <c r="B17" s="28">
        <v>1571</v>
      </c>
      <c r="C17" s="28">
        <v>213</v>
      </c>
      <c r="D17" s="28">
        <v>192</v>
      </c>
      <c r="E17" s="28">
        <v>426</v>
      </c>
      <c r="F17" s="28">
        <v>358</v>
      </c>
      <c r="G17" s="28">
        <v>322</v>
      </c>
      <c r="I17" s="614"/>
      <c r="J17" s="614"/>
      <c r="K17" s="614"/>
    </row>
    <row r="18" spans="1:11" ht="13.5">
      <c r="A18" s="518" t="s">
        <v>823</v>
      </c>
      <c r="B18" s="28">
        <v>4389</v>
      </c>
      <c r="C18" s="28">
        <v>4683</v>
      </c>
      <c r="D18" s="28">
        <v>4624</v>
      </c>
      <c r="E18" s="28">
        <v>6323</v>
      </c>
      <c r="F18" s="28">
        <v>6912</v>
      </c>
      <c r="G18" s="28">
        <v>7041</v>
      </c>
      <c r="I18" s="39"/>
      <c r="J18" s="39"/>
      <c r="K18" s="39"/>
    </row>
    <row r="19" spans="1:7" ht="12.75">
      <c r="A19" s="4" t="s">
        <v>426</v>
      </c>
      <c r="B19" s="28">
        <v>2290</v>
      </c>
      <c r="C19" s="28">
        <v>2522</v>
      </c>
      <c r="D19" s="28">
        <v>2618</v>
      </c>
      <c r="E19" s="28">
        <v>3372</v>
      </c>
      <c r="F19" s="28">
        <v>3827</v>
      </c>
      <c r="G19" s="28">
        <v>3581</v>
      </c>
    </row>
    <row r="20" spans="1:7" ht="12.75">
      <c r="A20" s="518" t="s">
        <v>569</v>
      </c>
      <c r="B20" s="28">
        <v>991</v>
      </c>
      <c r="C20" s="28">
        <v>1324</v>
      </c>
      <c r="D20" s="28">
        <v>1194</v>
      </c>
      <c r="E20" s="28">
        <v>1505</v>
      </c>
      <c r="F20" s="28">
        <v>2277</v>
      </c>
      <c r="G20" s="28">
        <v>1479</v>
      </c>
    </row>
    <row r="21" spans="1:7" ht="13.5">
      <c r="A21" s="518" t="s">
        <v>822</v>
      </c>
      <c r="B21" s="28"/>
      <c r="C21" s="28"/>
      <c r="D21" s="28"/>
      <c r="E21" s="28"/>
      <c r="F21" s="28"/>
      <c r="G21" s="28"/>
    </row>
    <row r="22" spans="1:9" ht="12.75">
      <c r="A22" s="518" t="s">
        <v>686</v>
      </c>
      <c r="B22" s="29"/>
      <c r="C22" s="29"/>
      <c r="D22" s="201"/>
      <c r="E22" s="29"/>
      <c r="F22" s="29"/>
      <c r="G22" s="29"/>
      <c r="I22" s="518" t="s">
        <v>635</v>
      </c>
    </row>
    <row r="23" spans="1:7" ht="12.75">
      <c r="A23" s="518" t="s">
        <v>570</v>
      </c>
      <c r="B23" s="30"/>
      <c r="C23" s="30"/>
      <c r="D23" s="30"/>
      <c r="E23" s="30"/>
      <c r="F23" s="30"/>
      <c r="G23" s="30"/>
    </row>
    <row r="24" spans="1:9" ht="12.75">
      <c r="A24" s="31" t="s">
        <v>415</v>
      </c>
      <c r="B24" s="32">
        <f aca="true" t="shared" si="0" ref="B24:G24">SUM(B16:B23)</f>
        <v>10151</v>
      </c>
      <c r="C24" s="32">
        <f t="shared" si="0"/>
        <v>10806</v>
      </c>
      <c r="D24" s="32">
        <f t="shared" si="0"/>
        <v>12571</v>
      </c>
      <c r="E24" s="32">
        <f t="shared" si="0"/>
        <v>17569</v>
      </c>
      <c r="F24" s="32">
        <f t="shared" si="0"/>
        <v>17441</v>
      </c>
      <c r="G24" s="32">
        <f t="shared" si="0"/>
        <v>18720</v>
      </c>
      <c r="I24" s="4" t="s">
        <v>269</v>
      </c>
    </row>
    <row r="25" spans="1:7" ht="12.75">
      <c r="A25" s="518" t="s">
        <v>689</v>
      </c>
      <c r="B25" s="28">
        <v>4354</v>
      </c>
      <c r="C25" s="28">
        <v>3883</v>
      </c>
      <c r="D25" s="28">
        <v>4484</v>
      </c>
      <c r="E25" s="28">
        <v>1368</v>
      </c>
      <c r="F25" s="28">
        <v>1477</v>
      </c>
      <c r="G25" s="28">
        <v>1633</v>
      </c>
    </row>
    <row r="26" spans="1:7" ht="13.5">
      <c r="A26" s="518" t="s">
        <v>821</v>
      </c>
      <c r="B26" s="28">
        <v>21896</v>
      </c>
      <c r="C26" s="28">
        <v>22552</v>
      </c>
      <c r="D26" s="28">
        <v>24912</v>
      </c>
      <c r="E26" s="28">
        <v>33041</v>
      </c>
      <c r="F26" s="28">
        <v>35140</v>
      </c>
      <c r="G26" s="28">
        <v>36162</v>
      </c>
    </row>
    <row r="27" spans="1:7" ht="12.75">
      <c r="A27" s="518" t="s">
        <v>571</v>
      </c>
      <c r="B27" s="28">
        <v>-10668</v>
      </c>
      <c r="C27" s="28">
        <v>-10889</v>
      </c>
      <c r="D27" s="28">
        <v>-12241</v>
      </c>
      <c r="E27" s="28">
        <v>-13983</v>
      </c>
      <c r="F27" s="28">
        <v>-15442</v>
      </c>
      <c r="G27" s="28">
        <v>-17026</v>
      </c>
    </row>
    <row r="28" spans="1:7" ht="12.75">
      <c r="A28" s="518" t="s">
        <v>572</v>
      </c>
      <c r="B28" s="28">
        <v>796</v>
      </c>
      <c r="C28" s="28">
        <v>732</v>
      </c>
      <c r="D28" s="28">
        <v>841</v>
      </c>
      <c r="E28" s="28">
        <v>2025</v>
      </c>
      <c r="F28" s="28">
        <v>1888</v>
      </c>
      <c r="G28" s="28">
        <v>1781</v>
      </c>
    </row>
    <row r="29" spans="1:7" ht="12.75">
      <c r="A29" s="518" t="s">
        <v>700</v>
      </c>
      <c r="B29" s="28">
        <v>5169</v>
      </c>
      <c r="C29" s="28">
        <v>5124</v>
      </c>
      <c r="D29" s="28">
        <v>6534</v>
      </c>
      <c r="E29" s="28">
        <v>14661</v>
      </c>
      <c r="F29" s="28">
        <v>16800</v>
      </c>
      <c r="G29" s="28">
        <v>16971</v>
      </c>
    </row>
    <row r="30" spans="1:7" ht="12.75">
      <c r="A30" s="518" t="s">
        <v>687</v>
      </c>
      <c r="B30" s="28">
        <v>1248</v>
      </c>
      <c r="C30" s="28">
        <v>1128</v>
      </c>
      <c r="D30" s="28">
        <v>1782</v>
      </c>
      <c r="E30" s="28">
        <v>11783</v>
      </c>
      <c r="F30" s="28">
        <v>14557</v>
      </c>
      <c r="G30" s="28">
        <v>14744</v>
      </c>
    </row>
    <row r="31" spans="1:9" ht="13.5">
      <c r="A31" s="518" t="s">
        <v>820</v>
      </c>
      <c r="B31" s="28">
        <v>0</v>
      </c>
      <c r="C31" s="28">
        <v>0</v>
      </c>
      <c r="D31" s="28">
        <v>0</v>
      </c>
      <c r="E31" s="28">
        <v>0</v>
      </c>
      <c r="F31" s="28">
        <v>0</v>
      </c>
      <c r="G31" s="28">
        <v>0</v>
      </c>
      <c r="I31" s="518" t="s">
        <v>636</v>
      </c>
    </row>
    <row r="32" spans="1:7" ht="12.75">
      <c r="A32" s="518" t="s">
        <v>690</v>
      </c>
      <c r="B32" s="29">
        <v>1682</v>
      </c>
      <c r="C32" s="29">
        <v>2658</v>
      </c>
      <c r="D32" s="29">
        <v>965</v>
      </c>
      <c r="E32" s="29">
        <v>1689</v>
      </c>
      <c r="F32" s="29">
        <v>1021</v>
      </c>
      <c r="G32" s="29">
        <v>1653</v>
      </c>
    </row>
    <row r="33" spans="1:9" ht="12.75">
      <c r="A33" s="31" t="s">
        <v>416</v>
      </c>
      <c r="B33" s="32">
        <f aca="true" t="shared" si="1" ref="B33:G33">SUM(B24:B32)</f>
        <v>34628</v>
      </c>
      <c r="C33" s="32">
        <f t="shared" si="1"/>
        <v>35994</v>
      </c>
      <c r="D33" s="32">
        <f t="shared" si="1"/>
        <v>39848</v>
      </c>
      <c r="E33" s="32">
        <f t="shared" si="1"/>
        <v>68153</v>
      </c>
      <c r="F33" s="32">
        <f t="shared" si="1"/>
        <v>72882</v>
      </c>
      <c r="G33" s="32">
        <f t="shared" si="1"/>
        <v>74638</v>
      </c>
      <c r="I33" s="4" t="s">
        <v>270</v>
      </c>
    </row>
    <row r="34" spans="1:3" s="81" customFormat="1" ht="12.75">
      <c r="A34" s="25"/>
      <c r="B34" s="521"/>
      <c r="C34" s="521"/>
    </row>
    <row r="35" spans="1:3" s="81" customFormat="1" ht="12.75">
      <c r="A35" s="31" t="s">
        <v>359</v>
      </c>
      <c r="B35" s="521"/>
      <c r="C35" s="521"/>
    </row>
    <row r="36" spans="1:7" ht="12.75">
      <c r="A36" s="518" t="s">
        <v>702</v>
      </c>
      <c r="B36" s="28">
        <v>2562</v>
      </c>
      <c r="C36" s="28">
        <v>2846</v>
      </c>
      <c r="D36" s="28">
        <v>2881</v>
      </c>
      <c r="E36" s="28">
        <v>3865</v>
      </c>
      <c r="F36" s="28">
        <v>4083</v>
      </c>
      <c r="G36" s="28">
        <v>4451</v>
      </c>
    </row>
    <row r="37" spans="1:7" ht="12.75">
      <c r="A37" s="518" t="s">
        <v>684</v>
      </c>
      <c r="B37" s="28">
        <f>1607+1287+602+1544</f>
        <v>5040</v>
      </c>
      <c r="C37" s="28">
        <f>1574+1269+660+1924</f>
        <v>5427</v>
      </c>
      <c r="D37" s="28">
        <f>1656+1291+706+1593</f>
        <v>5246</v>
      </c>
      <c r="E37" s="28">
        <f>1841+1779+766+2672</f>
        <v>7058</v>
      </c>
      <c r="F37" s="28">
        <f>1915+1771+813+3175</f>
        <v>7674</v>
      </c>
      <c r="G37" s="28">
        <f>2187+1705+838+2722</f>
        <v>7452</v>
      </c>
    </row>
    <row r="38" spans="1:14" ht="12.75">
      <c r="A38" s="518" t="s">
        <v>573</v>
      </c>
      <c r="B38" s="28">
        <v>0</v>
      </c>
      <c r="C38" s="28">
        <v>369</v>
      </c>
      <c r="D38" s="28">
        <v>464</v>
      </c>
      <c r="E38" s="28">
        <v>4898</v>
      </c>
      <c r="F38" s="28">
        <v>6205</v>
      </c>
      <c r="G38" s="28">
        <v>4815</v>
      </c>
      <c r="I38" s="33"/>
      <c r="J38" s="33"/>
      <c r="K38" s="33"/>
      <c r="L38" s="33"/>
      <c r="M38" s="33"/>
      <c r="N38" s="33"/>
    </row>
    <row r="39" spans="1:7" ht="12.75">
      <c r="A39" s="518" t="s">
        <v>574</v>
      </c>
      <c r="B39" s="28"/>
      <c r="C39" s="28"/>
      <c r="D39" s="28"/>
      <c r="E39" s="28"/>
      <c r="F39" s="28"/>
      <c r="G39" s="28"/>
    </row>
    <row r="40" spans="1:7" ht="13.5">
      <c r="A40" s="518" t="s">
        <v>819</v>
      </c>
      <c r="B40" s="28"/>
      <c r="C40" s="28"/>
      <c r="D40" s="28"/>
      <c r="E40" s="28"/>
      <c r="F40" s="28"/>
      <c r="G40" s="28"/>
    </row>
    <row r="41" spans="1:7" ht="12.75">
      <c r="A41" s="518" t="s">
        <v>575</v>
      </c>
      <c r="B41" s="28">
        <v>151</v>
      </c>
      <c r="C41" s="28">
        <v>145</v>
      </c>
      <c r="D41" s="28">
        <v>165</v>
      </c>
      <c r="E41" s="28">
        <v>71</v>
      </c>
      <c r="F41" s="28">
        <v>192</v>
      </c>
      <c r="G41" s="28">
        <v>371</v>
      </c>
    </row>
    <row r="42" spans="1:9" ht="12.75">
      <c r="A42" s="518" t="s">
        <v>576</v>
      </c>
      <c r="B42" s="29"/>
      <c r="C42" s="29"/>
      <c r="D42" s="29"/>
      <c r="E42" s="29"/>
      <c r="F42" s="29"/>
      <c r="G42" s="29"/>
      <c r="I42" s="518" t="s">
        <v>637</v>
      </c>
    </row>
    <row r="43" spans="1:7" ht="12.75">
      <c r="A43" s="518" t="s">
        <v>701</v>
      </c>
      <c r="B43" s="30"/>
      <c r="C43" s="30"/>
      <c r="D43" s="30"/>
      <c r="E43" s="30"/>
      <c r="F43" s="30"/>
      <c r="G43" s="30"/>
    </row>
    <row r="44" spans="1:9" ht="12.75">
      <c r="A44" s="31" t="s">
        <v>417</v>
      </c>
      <c r="B44" s="32">
        <f aca="true" t="shared" si="2" ref="B44:G44">SUM(B36:B43)</f>
        <v>7753</v>
      </c>
      <c r="C44" s="32">
        <f t="shared" si="2"/>
        <v>8787</v>
      </c>
      <c r="D44" s="32">
        <f t="shared" si="2"/>
        <v>8756</v>
      </c>
      <c r="E44" s="32">
        <f t="shared" si="2"/>
        <v>15892</v>
      </c>
      <c r="F44" s="32">
        <f t="shared" si="2"/>
        <v>18154</v>
      </c>
      <c r="G44" s="32">
        <f t="shared" si="2"/>
        <v>17089</v>
      </c>
      <c r="I44" s="4" t="s">
        <v>271</v>
      </c>
    </row>
    <row r="45" spans="1:8" ht="12.75">
      <c r="A45" s="518" t="s">
        <v>691</v>
      </c>
      <c r="B45" s="28">
        <v>4203</v>
      </c>
      <c r="C45" s="28">
        <v>7858</v>
      </c>
      <c r="D45" s="28">
        <v>7400</v>
      </c>
      <c r="E45" s="28">
        <v>19999</v>
      </c>
      <c r="F45" s="28">
        <v>20568</v>
      </c>
      <c r="G45" s="28">
        <v>23544</v>
      </c>
      <c r="H45" s="34"/>
    </row>
    <row r="46" spans="1:8" ht="12.75">
      <c r="A46" s="518" t="s">
        <v>577</v>
      </c>
      <c r="B46" s="28">
        <v>4730</v>
      </c>
      <c r="C46" s="28">
        <v>6541</v>
      </c>
      <c r="D46" s="28">
        <v>5591</v>
      </c>
      <c r="E46" s="28">
        <v>6729</v>
      </c>
      <c r="F46" s="28">
        <v>8266</v>
      </c>
      <c r="G46" s="28">
        <v>6543</v>
      </c>
      <c r="H46" s="34"/>
    </row>
    <row r="47" spans="1:8" ht="13.5">
      <c r="A47" s="518" t="s">
        <v>818</v>
      </c>
      <c r="B47" s="28">
        <v>646</v>
      </c>
      <c r="C47" s="28">
        <v>226</v>
      </c>
      <c r="D47" s="28">
        <v>659</v>
      </c>
      <c r="E47" s="28">
        <v>4057</v>
      </c>
      <c r="F47" s="28">
        <v>4995</v>
      </c>
      <c r="G47" s="28">
        <v>5063</v>
      </c>
      <c r="H47" s="34"/>
    </row>
    <row r="48" spans="1:9" ht="12.75">
      <c r="A48" s="518" t="s">
        <v>688</v>
      </c>
      <c r="B48" s="28"/>
      <c r="C48" s="28"/>
      <c r="D48" s="28"/>
      <c r="E48" s="28"/>
      <c r="F48" s="28"/>
      <c r="G48" s="28"/>
      <c r="H48" s="34"/>
      <c r="I48" s="518" t="s">
        <v>638</v>
      </c>
    </row>
    <row r="49" spans="1:8" ht="12.75">
      <c r="A49" s="518" t="s">
        <v>578</v>
      </c>
      <c r="B49" s="28"/>
      <c r="C49" s="28"/>
      <c r="D49" s="28"/>
      <c r="E49" s="28"/>
      <c r="F49" s="28"/>
      <c r="G49" s="28"/>
      <c r="H49" s="34"/>
    </row>
    <row r="50" spans="1:9" ht="12.75">
      <c r="A50" s="31" t="s">
        <v>418</v>
      </c>
      <c r="B50" s="32">
        <f aca="true" t="shared" si="3" ref="B50:G50">SUM(B44:B49)</f>
        <v>17332</v>
      </c>
      <c r="C50" s="32">
        <f t="shared" si="3"/>
        <v>23412</v>
      </c>
      <c r="D50" s="32">
        <f t="shared" si="3"/>
        <v>22406</v>
      </c>
      <c r="E50" s="32">
        <f t="shared" si="3"/>
        <v>46677</v>
      </c>
      <c r="F50" s="32">
        <f t="shared" si="3"/>
        <v>51983</v>
      </c>
      <c r="G50" s="32">
        <f t="shared" si="3"/>
        <v>52239</v>
      </c>
      <c r="I50" s="4" t="s">
        <v>272</v>
      </c>
    </row>
    <row r="51" spans="1:7" ht="12.75">
      <c r="A51" s="518"/>
      <c r="B51" s="534"/>
      <c r="C51" s="534"/>
      <c r="D51" s="534"/>
      <c r="E51" s="534"/>
      <c r="F51" s="534"/>
      <c r="G51" s="534"/>
    </row>
    <row r="52" spans="1:7" ht="12.75">
      <c r="A52" s="518" t="s">
        <v>579</v>
      </c>
      <c r="B52" s="28">
        <f>41-132</f>
        <v>-91</v>
      </c>
      <c r="C52" s="28">
        <f>41-138</f>
        <v>-97</v>
      </c>
      <c r="D52" s="28">
        <f>-104</f>
        <v>-104</v>
      </c>
      <c r="E52" s="28">
        <f>-150+41</f>
        <v>-109</v>
      </c>
      <c r="F52" s="28">
        <f>-157+41</f>
        <v>-116</v>
      </c>
      <c r="G52" s="28">
        <f>41-164</f>
        <v>-123</v>
      </c>
    </row>
    <row r="53" spans="1:7" ht="12.75">
      <c r="A53" s="518" t="s">
        <v>580</v>
      </c>
      <c r="B53" s="28">
        <f>450+30</f>
        <v>480</v>
      </c>
      <c r="C53" s="28">
        <f>30+351</f>
        <v>381</v>
      </c>
      <c r="D53" s="28">
        <v>280</v>
      </c>
      <c r="E53" s="28">
        <v>4558</v>
      </c>
      <c r="F53" s="28">
        <v>4487</v>
      </c>
      <c r="G53" s="28">
        <v>4204</v>
      </c>
    </row>
    <row r="54" spans="1:7" ht="12.75">
      <c r="A54" s="518" t="s">
        <v>581</v>
      </c>
      <c r="B54" s="28">
        <v>28184</v>
      </c>
      <c r="C54" s="28">
        <v>30638</v>
      </c>
      <c r="D54" s="28">
        <v>33805</v>
      </c>
      <c r="E54" s="28">
        <v>37090</v>
      </c>
      <c r="F54" s="28">
        <v>40316</v>
      </c>
      <c r="G54" s="28">
        <v>43158</v>
      </c>
    </row>
    <row r="55" spans="1:9" ht="12.75">
      <c r="A55" s="518" t="s">
        <v>582</v>
      </c>
      <c r="B55" s="28">
        <v>-952</v>
      </c>
      <c r="C55" s="28">
        <v>-4694</v>
      </c>
      <c r="D55" s="28">
        <v>-3794</v>
      </c>
      <c r="E55" s="28">
        <v>-3630</v>
      </c>
      <c r="F55" s="28">
        <v>-6229</v>
      </c>
      <c r="G55" s="28">
        <v>-5487</v>
      </c>
      <c r="I55" s="4" t="s">
        <v>273</v>
      </c>
    </row>
    <row r="56" spans="1:9" ht="12.75">
      <c r="A56" s="518" t="s">
        <v>751</v>
      </c>
      <c r="B56" s="28">
        <v>-10387</v>
      </c>
      <c r="C56" s="28">
        <v>-14122</v>
      </c>
      <c r="D56" s="28">
        <v>-13383</v>
      </c>
      <c r="E56" s="28">
        <v>-16745</v>
      </c>
      <c r="F56" s="28">
        <v>-17870</v>
      </c>
      <c r="G56" s="28">
        <v>-19458</v>
      </c>
      <c r="I56" s="518" t="s">
        <v>752</v>
      </c>
    </row>
    <row r="57" spans="1:9" ht="12.75">
      <c r="A57" s="31" t="s">
        <v>694</v>
      </c>
      <c r="B57" s="32">
        <f aca="true" t="shared" si="4" ref="B57:G57">SUM(B53:B56)</f>
        <v>17325</v>
      </c>
      <c r="C57" s="32">
        <f t="shared" si="4"/>
        <v>12203</v>
      </c>
      <c r="D57" s="32">
        <f t="shared" si="4"/>
        <v>16908</v>
      </c>
      <c r="E57" s="32">
        <f t="shared" si="4"/>
        <v>21273</v>
      </c>
      <c r="F57" s="32">
        <f t="shared" si="4"/>
        <v>20704</v>
      </c>
      <c r="G57" s="32">
        <f t="shared" si="4"/>
        <v>22417</v>
      </c>
      <c r="I57" s="4" t="s">
        <v>274</v>
      </c>
    </row>
    <row r="58" spans="1:7" ht="12.75">
      <c r="A58" s="518" t="s">
        <v>692</v>
      </c>
      <c r="B58" s="28">
        <v>62</v>
      </c>
      <c r="C58" s="28">
        <v>476</v>
      </c>
      <c r="D58" s="28">
        <v>638</v>
      </c>
      <c r="E58" s="28">
        <v>312</v>
      </c>
      <c r="F58" s="28">
        <v>311</v>
      </c>
      <c r="G58" s="28">
        <v>105</v>
      </c>
    </row>
    <row r="59" spans="1:7" ht="12.75">
      <c r="A59" s="31" t="s">
        <v>693</v>
      </c>
      <c r="B59" s="32">
        <f aca="true" t="shared" si="5" ref="B59:G59">B52+B57+B58</f>
        <v>17296</v>
      </c>
      <c r="C59" s="32">
        <f t="shared" si="5"/>
        <v>12582</v>
      </c>
      <c r="D59" s="32">
        <f t="shared" si="5"/>
        <v>17442</v>
      </c>
      <c r="E59" s="32">
        <f t="shared" si="5"/>
        <v>21476</v>
      </c>
      <c r="F59" s="32">
        <f t="shared" si="5"/>
        <v>20899</v>
      </c>
      <c r="G59" s="32">
        <f t="shared" si="5"/>
        <v>22399</v>
      </c>
    </row>
    <row r="60" spans="1:9" ht="12.75">
      <c r="A60" s="31" t="s">
        <v>419</v>
      </c>
      <c r="B60" s="32">
        <f aca="true" t="shared" si="6" ref="B60:G60">B50+B59</f>
        <v>34628</v>
      </c>
      <c r="C60" s="32">
        <f t="shared" si="6"/>
        <v>35994</v>
      </c>
      <c r="D60" s="32">
        <f t="shared" si="6"/>
        <v>39848</v>
      </c>
      <c r="E60" s="32">
        <f t="shared" si="6"/>
        <v>68153</v>
      </c>
      <c r="F60" s="32">
        <f t="shared" si="6"/>
        <v>72882</v>
      </c>
      <c r="G60" s="32">
        <f t="shared" si="6"/>
        <v>74638</v>
      </c>
      <c r="I60" s="4" t="s">
        <v>275</v>
      </c>
    </row>
    <row r="61" spans="2:7" ht="12.75">
      <c r="B61" s="533"/>
      <c r="C61" s="533"/>
      <c r="D61" s="36"/>
      <c r="E61" s="36"/>
      <c r="F61" s="36"/>
      <c r="G61" s="618"/>
    </row>
    <row r="62" spans="2:12" ht="12.75">
      <c r="B62" s="533"/>
      <c r="C62" s="533"/>
      <c r="D62" s="36"/>
      <c r="E62" s="36"/>
      <c r="F62" s="36"/>
      <c r="G62" s="36"/>
      <c r="H62" s="620"/>
      <c r="I62" s="620"/>
      <c r="J62" s="620"/>
      <c r="K62" s="620"/>
      <c r="L62" s="620"/>
    </row>
    <row r="63" spans="1:9" ht="12.75">
      <c r="A63" s="27" t="s">
        <v>429</v>
      </c>
      <c r="B63" s="37">
        <f aca="true" t="shared" si="7" ref="B63:G63">B11</f>
        <v>2007</v>
      </c>
      <c r="C63" s="37">
        <f t="shared" si="7"/>
        <v>2008</v>
      </c>
      <c r="D63" s="37">
        <f t="shared" si="7"/>
        <v>2009</v>
      </c>
      <c r="E63" s="37">
        <f t="shared" si="7"/>
        <v>2010</v>
      </c>
      <c r="F63" s="37">
        <f t="shared" si="7"/>
        <v>2011</v>
      </c>
      <c r="G63" s="37">
        <f t="shared" si="7"/>
        <v>2012</v>
      </c>
      <c r="I63" s="27" t="s">
        <v>498</v>
      </c>
    </row>
    <row r="64" spans="1:9" ht="12.75">
      <c r="A64" s="27"/>
      <c r="B64" s="533"/>
      <c r="C64" s="533"/>
      <c r="D64" s="36"/>
      <c r="E64" s="36"/>
      <c r="F64" s="36"/>
      <c r="G64" s="36"/>
      <c r="H64" s="39"/>
      <c r="I64" s="4" t="s">
        <v>276</v>
      </c>
    </row>
    <row r="65" spans="1:12" ht="12.75">
      <c r="A65" s="4" t="s">
        <v>18</v>
      </c>
      <c r="B65" s="28">
        <v>39474</v>
      </c>
      <c r="C65" s="28">
        <v>43251</v>
      </c>
      <c r="D65" s="28">
        <v>43232</v>
      </c>
      <c r="E65" s="28">
        <v>57838</v>
      </c>
      <c r="F65" s="28">
        <v>66504</v>
      </c>
      <c r="G65" s="28">
        <v>65492</v>
      </c>
      <c r="H65" s="619"/>
      <c r="I65" s="619"/>
      <c r="J65" s="619"/>
      <c r="K65" s="619"/>
      <c r="L65" s="619"/>
    </row>
    <row r="66" spans="1:7" ht="12.75">
      <c r="A66" s="518" t="s">
        <v>583</v>
      </c>
      <c r="B66" s="28">
        <v>-18038</v>
      </c>
      <c r="C66" s="28">
        <v>-20351</v>
      </c>
      <c r="D66" s="28">
        <v>-20099</v>
      </c>
      <c r="E66" s="28">
        <v>-26575</v>
      </c>
      <c r="F66" s="28">
        <v>-31593</v>
      </c>
      <c r="G66" s="28">
        <v>-31291</v>
      </c>
    </row>
    <row r="67" spans="1:9" ht="12.75">
      <c r="A67" s="31" t="s">
        <v>430</v>
      </c>
      <c r="B67" s="38">
        <f aca="true" t="shared" si="8" ref="B67:G67">B65+B66</f>
        <v>21436</v>
      </c>
      <c r="C67" s="38">
        <f t="shared" si="8"/>
        <v>22900</v>
      </c>
      <c r="D67" s="38">
        <f t="shared" si="8"/>
        <v>23133</v>
      </c>
      <c r="E67" s="38">
        <f t="shared" si="8"/>
        <v>31263</v>
      </c>
      <c r="F67" s="38">
        <f t="shared" si="8"/>
        <v>34911</v>
      </c>
      <c r="G67" s="38">
        <f t="shared" si="8"/>
        <v>34201</v>
      </c>
      <c r="I67" s="4" t="s">
        <v>277</v>
      </c>
    </row>
    <row r="68" spans="1:8" ht="12.75">
      <c r="A68" s="518" t="s">
        <v>584</v>
      </c>
      <c r="B68" s="28">
        <v>-14196</v>
      </c>
      <c r="C68" s="28">
        <v>-15877</v>
      </c>
      <c r="D68" s="28">
        <v>-15026</v>
      </c>
      <c r="E68" s="28">
        <v>-22814</v>
      </c>
      <c r="F68" s="28">
        <v>-25145</v>
      </c>
      <c r="G68" s="28">
        <v>-24970</v>
      </c>
      <c r="H68" s="621"/>
    </row>
    <row r="69" spans="1:7" ht="12.75">
      <c r="A69" s="518" t="s">
        <v>585</v>
      </c>
      <c r="B69" s="28"/>
      <c r="C69" s="28"/>
      <c r="D69" s="28"/>
      <c r="E69" s="28"/>
      <c r="F69" s="28"/>
      <c r="G69" s="28"/>
    </row>
    <row r="70" spans="1:7" ht="12.75">
      <c r="A70" s="518" t="s">
        <v>586</v>
      </c>
      <c r="B70" s="28">
        <v>-58</v>
      </c>
      <c r="C70" s="28">
        <v>-64</v>
      </c>
      <c r="D70" s="28">
        <v>-63</v>
      </c>
      <c r="E70" s="28">
        <v>-117</v>
      </c>
      <c r="F70" s="28">
        <v>-133</v>
      </c>
      <c r="G70" s="28">
        <v>-119</v>
      </c>
    </row>
    <row r="71" spans="1:9" ht="12.75">
      <c r="A71" s="518" t="s">
        <v>587</v>
      </c>
      <c r="B71" s="28"/>
      <c r="C71" s="28"/>
      <c r="D71" s="28"/>
      <c r="E71" s="28"/>
      <c r="F71" s="28"/>
      <c r="G71" s="28"/>
      <c r="I71" s="518" t="s">
        <v>639</v>
      </c>
    </row>
    <row r="72" spans="1:7" ht="12.75">
      <c r="A72" s="518" t="s">
        <v>588</v>
      </c>
      <c r="B72" s="28"/>
      <c r="C72" s="28"/>
      <c r="D72" s="28"/>
      <c r="E72" s="28"/>
      <c r="F72" s="28"/>
      <c r="G72" s="28"/>
    </row>
    <row r="73" spans="1:9" ht="12.75">
      <c r="A73" s="518" t="s">
        <v>589</v>
      </c>
      <c r="B73" s="28"/>
      <c r="C73" s="28"/>
      <c r="D73" s="28"/>
      <c r="E73" s="28"/>
      <c r="F73" s="28"/>
      <c r="G73" s="28"/>
      <c r="I73" s="518" t="s">
        <v>640</v>
      </c>
    </row>
    <row r="74" spans="1:7" ht="12.75">
      <c r="A74" s="518" t="s">
        <v>590</v>
      </c>
      <c r="B74" s="28"/>
      <c r="C74" s="28"/>
      <c r="D74" s="28"/>
      <c r="E74" s="28"/>
      <c r="F74" s="28"/>
      <c r="G74" s="28"/>
    </row>
    <row r="75" spans="1:9" ht="12.75">
      <c r="A75" s="518" t="s">
        <v>743</v>
      </c>
      <c r="B75" s="28"/>
      <c r="C75" s="28"/>
      <c r="D75" s="28"/>
      <c r="E75" s="28"/>
      <c r="F75" s="28"/>
      <c r="G75" s="28"/>
      <c r="I75" s="4" t="s">
        <v>391</v>
      </c>
    </row>
    <row r="76" spans="1:9" ht="12.75">
      <c r="A76" s="31" t="s">
        <v>431</v>
      </c>
      <c r="B76" s="38">
        <f aca="true" t="shared" si="9" ref="B76:G76">SUM(B67:B75)</f>
        <v>7182</v>
      </c>
      <c r="C76" s="38">
        <f t="shared" si="9"/>
        <v>6959</v>
      </c>
      <c r="D76" s="38">
        <f t="shared" si="9"/>
        <v>8044</v>
      </c>
      <c r="E76" s="38">
        <f t="shared" si="9"/>
        <v>8332</v>
      </c>
      <c r="F76" s="38">
        <f t="shared" si="9"/>
        <v>9633</v>
      </c>
      <c r="G76" s="38">
        <f t="shared" si="9"/>
        <v>9112</v>
      </c>
      <c r="I76" s="4" t="s">
        <v>278</v>
      </c>
    </row>
    <row r="77" spans="1:7" ht="12.75">
      <c r="A77" s="518" t="s">
        <v>591</v>
      </c>
      <c r="B77" s="28">
        <v>125</v>
      </c>
      <c r="C77" s="28">
        <v>41</v>
      </c>
      <c r="D77" s="28">
        <v>67</v>
      </c>
      <c r="E77" s="28">
        <v>68</v>
      </c>
      <c r="F77" s="28">
        <v>57</v>
      </c>
      <c r="G77" s="28">
        <v>91</v>
      </c>
    </row>
    <row r="78" spans="1:11" ht="12.75">
      <c r="A78" s="518" t="s">
        <v>592</v>
      </c>
      <c r="B78" s="28">
        <v>-224</v>
      </c>
      <c r="C78" s="28">
        <v>-329</v>
      </c>
      <c r="D78" s="28">
        <v>-397</v>
      </c>
      <c r="E78" s="28">
        <v>-903</v>
      </c>
      <c r="F78" s="28">
        <v>-856</v>
      </c>
      <c r="G78" s="28">
        <v>-899</v>
      </c>
      <c r="I78" s="39"/>
      <c r="J78" s="39"/>
      <c r="K78" s="39"/>
    </row>
    <row r="79" spans="1:9" ht="12.75">
      <c r="A79" s="518" t="s">
        <v>593</v>
      </c>
      <c r="B79" s="28">
        <v>560</v>
      </c>
      <c r="C79" s="28">
        <v>374</v>
      </c>
      <c r="D79" s="28">
        <v>365</v>
      </c>
      <c r="E79" s="28">
        <v>735</v>
      </c>
      <c r="F79" s="28">
        <v>0</v>
      </c>
      <c r="G79" s="28">
        <v>0</v>
      </c>
      <c r="I79" s="4" t="s">
        <v>383</v>
      </c>
    </row>
    <row r="80" spans="1:9" ht="12.75">
      <c r="A80" s="518" t="s">
        <v>744</v>
      </c>
      <c r="B80" s="28"/>
      <c r="C80" s="28"/>
      <c r="D80" s="28"/>
      <c r="E80" s="28"/>
      <c r="F80" s="28"/>
      <c r="G80" s="28"/>
      <c r="I80" s="518" t="s">
        <v>745</v>
      </c>
    </row>
    <row r="81" spans="1:9" ht="12.75">
      <c r="A81" s="31" t="s">
        <v>432</v>
      </c>
      <c r="B81" s="38">
        <f aca="true" t="shared" si="10" ref="B81:G81">SUM(B76:B80)</f>
        <v>7643</v>
      </c>
      <c r="C81" s="38">
        <f t="shared" si="10"/>
        <v>7045</v>
      </c>
      <c r="D81" s="38">
        <f t="shared" si="10"/>
        <v>8079</v>
      </c>
      <c r="E81" s="38">
        <f t="shared" si="10"/>
        <v>8232</v>
      </c>
      <c r="F81" s="38">
        <f t="shared" si="10"/>
        <v>8834</v>
      </c>
      <c r="G81" s="38">
        <f t="shared" si="10"/>
        <v>8304</v>
      </c>
      <c r="I81" s="4" t="s">
        <v>279</v>
      </c>
    </row>
    <row r="82" spans="1:9" ht="12.75">
      <c r="A82" s="518" t="s">
        <v>594</v>
      </c>
      <c r="B82" s="28">
        <v>-1973</v>
      </c>
      <c r="C82" s="28">
        <v>-1879</v>
      </c>
      <c r="D82" s="28">
        <v>-2100</v>
      </c>
      <c r="E82" s="28">
        <v>-1894</v>
      </c>
      <c r="F82" s="28">
        <v>-2372</v>
      </c>
      <c r="G82" s="28">
        <v>-2090</v>
      </c>
      <c r="I82" s="4" t="s">
        <v>280</v>
      </c>
    </row>
    <row r="83" spans="1:9" ht="12.75">
      <c r="A83" s="518" t="s">
        <v>595</v>
      </c>
      <c r="B83" s="28"/>
      <c r="C83" s="28"/>
      <c r="D83" s="28"/>
      <c r="E83" s="28"/>
      <c r="F83" s="28"/>
      <c r="G83" s="28"/>
      <c r="I83" s="4" t="s">
        <v>384</v>
      </c>
    </row>
    <row r="84" spans="1:9" ht="12.75">
      <c r="A84" s="518" t="s">
        <v>596</v>
      </c>
      <c r="B84" s="28"/>
      <c r="C84" s="28"/>
      <c r="D84" s="28"/>
      <c r="E84" s="28"/>
      <c r="F84" s="28"/>
      <c r="G84" s="28"/>
      <c r="I84" s="4" t="s">
        <v>385</v>
      </c>
    </row>
    <row r="85" spans="1:9" ht="12.75">
      <c r="A85" s="518" t="s">
        <v>597</v>
      </c>
      <c r="B85" s="28"/>
      <c r="C85" s="28"/>
      <c r="D85" s="28"/>
      <c r="E85" s="28"/>
      <c r="F85" s="28"/>
      <c r="G85" s="28"/>
      <c r="I85" s="4" t="s">
        <v>386</v>
      </c>
    </row>
    <row r="86" spans="1:9" ht="12.75">
      <c r="A86" s="31" t="s">
        <v>696</v>
      </c>
      <c r="B86" s="32">
        <f aca="true" t="shared" si="11" ref="B86:G86">SUM(B81:B85)</f>
        <v>5670</v>
      </c>
      <c r="C86" s="32">
        <f t="shared" si="11"/>
        <v>5166</v>
      </c>
      <c r="D86" s="32">
        <f t="shared" si="11"/>
        <v>5979</v>
      </c>
      <c r="E86" s="32">
        <f t="shared" si="11"/>
        <v>6338</v>
      </c>
      <c r="F86" s="32">
        <f t="shared" si="11"/>
        <v>6462</v>
      </c>
      <c r="G86" s="32">
        <f t="shared" si="11"/>
        <v>6214</v>
      </c>
      <c r="I86" s="4" t="s">
        <v>281</v>
      </c>
    </row>
    <row r="87" spans="1:9" ht="12.75">
      <c r="A87" s="519" t="s">
        <v>695</v>
      </c>
      <c r="B87" s="28">
        <v>-12</v>
      </c>
      <c r="C87" s="28">
        <v>-24</v>
      </c>
      <c r="D87" s="28">
        <v>-33</v>
      </c>
      <c r="E87" s="28">
        <v>-18</v>
      </c>
      <c r="F87" s="28">
        <v>-19</v>
      </c>
      <c r="G87" s="28">
        <v>-36</v>
      </c>
      <c r="I87" s="518" t="s">
        <v>698</v>
      </c>
    </row>
    <row r="88" spans="1:7" ht="12.75">
      <c r="A88" s="31" t="s">
        <v>697</v>
      </c>
      <c r="B88" s="32">
        <f aca="true" t="shared" si="12" ref="B88:G88">B86+B87</f>
        <v>5658</v>
      </c>
      <c r="C88" s="32">
        <f t="shared" si="12"/>
        <v>5142</v>
      </c>
      <c r="D88" s="32">
        <f t="shared" si="12"/>
        <v>5946</v>
      </c>
      <c r="E88" s="32">
        <f t="shared" si="12"/>
        <v>6320</v>
      </c>
      <c r="F88" s="32">
        <f t="shared" si="12"/>
        <v>6443</v>
      </c>
      <c r="G88" s="32">
        <f t="shared" si="12"/>
        <v>6178</v>
      </c>
    </row>
    <row r="89" spans="1:9" ht="12.75">
      <c r="A89" s="4" t="s">
        <v>165</v>
      </c>
      <c r="B89" s="28">
        <v>5658</v>
      </c>
      <c r="C89" s="28">
        <v>5142</v>
      </c>
      <c r="D89" s="28">
        <v>5946</v>
      </c>
      <c r="E89" s="28">
        <v>6320</v>
      </c>
      <c r="F89" s="28">
        <v>6443</v>
      </c>
      <c r="G89" s="28">
        <v>6178</v>
      </c>
      <c r="I89" s="4" t="s">
        <v>382</v>
      </c>
    </row>
    <row r="90" spans="2:7" ht="12.75">
      <c r="B90" s="35"/>
      <c r="C90" s="35"/>
      <c r="D90" s="35"/>
      <c r="E90" s="35"/>
      <c r="F90" s="35"/>
      <c r="G90" s="35"/>
    </row>
    <row r="91" spans="1:9" ht="12.75">
      <c r="A91" s="518" t="s">
        <v>598</v>
      </c>
      <c r="B91" s="28">
        <f>1296-14</f>
        <v>1282</v>
      </c>
      <c r="C91" s="28">
        <f>-3841+24</f>
        <v>-3817</v>
      </c>
      <c r="D91" s="28">
        <f>888-21</f>
        <v>867</v>
      </c>
      <c r="E91" s="28">
        <f>151-5</f>
        <v>146</v>
      </c>
      <c r="F91" s="28">
        <f>-2534-84</f>
        <v>-2618</v>
      </c>
      <c r="G91" s="28">
        <f>737-31</f>
        <v>706</v>
      </c>
      <c r="I91" s="518" t="s">
        <v>699</v>
      </c>
    </row>
    <row r="92" spans="1:9" ht="12.75">
      <c r="A92" s="31" t="s">
        <v>420</v>
      </c>
      <c r="B92" s="32">
        <f aca="true" t="shared" si="13" ref="B92:G92">B86+B91</f>
        <v>6952</v>
      </c>
      <c r="C92" s="32">
        <f t="shared" si="13"/>
        <v>1349</v>
      </c>
      <c r="D92" s="32">
        <f t="shared" si="13"/>
        <v>6846</v>
      </c>
      <c r="E92" s="32">
        <f t="shared" si="13"/>
        <v>6484</v>
      </c>
      <c r="F92" s="32">
        <f t="shared" si="13"/>
        <v>3844</v>
      </c>
      <c r="G92" s="32">
        <f t="shared" si="13"/>
        <v>6920</v>
      </c>
      <c r="I92" s="4" t="s">
        <v>282</v>
      </c>
    </row>
    <row r="93" spans="2:7" ht="12.75">
      <c r="B93" s="533"/>
      <c r="C93" s="533"/>
      <c r="D93" s="36"/>
      <c r="E93" s="36"/>
      <c r="F93" s="36"/>
      <c r="G93" s="36"/>
    </row>
    <row r="94" spans="2:8" ht="12.75">
      <c r="B94" s="533"/>
      <c r="C94" s="533"/>
      <c r="D94" s="36"/>
      <c r="E94" s="36"/>
      <c r="F94" s="618"/>
      <c r="G94" s="618"/>
      <c r="H94" s="618"/>
    </row>
    <row r="95" spans="1:9" ht="12.75">
      <c r="A95" s="25" t="s">
        <v>435</v>
      </c>
      <c r="B95" s="37">
        <f aca="true" t="shared" si="14" ref="B95:G95">B11</f>
        <v>2007</v>
      </c>
      <c r="C95" s="37">
        <f t="shared" si="14"/>
        <v>2008</v>
      </c>
      <c r="D95" s="37">
        <f t="shared" si="14"/>
        <v>2009</v>
      </c>
      <c r="E95" s="37">
        <f t="shared" si="14"/>
        <v>2010</v>
      </c>
      <c r="F95" s="37">
        <f t="shared" si="14"/>
        <v>2011</v>
      </c>
      <c r="G95" s="37">
        <f t="shared" si="14"/>
        <v>2012</v>
      </c>
      <c r="I95" s="27" t="s">
        <v>499</v>
      </c>
    </row>
    <row r="96" spans="1:9" ht="12.75">
      <c r="A96" s="25"/>
      <c r="B96" s="533"/>
      <c r="C96" s="533"/>
      <c r="D96" s="36"/>
      <c r="E96" s="36"/>
      <c r="F96" s="36"/>
      <c r="G96" s="36"/>
      <c r="I96" s="4" t="s">
        <v>390</v>
      </c>
    </row>
    <row r="97" spans="1:9" ht="12.75">
      <c r="A97" s="31" t="s">
        <v>421</v>
      </c>
      <c r="B97" s="32">
        <f aca="true" t="shared" si="15" ref="B97:G97">B86</f>
        <v>5670</v>
      </c>
      <c r="C97" s="32">
        <f t="shared" si="15"/>
        <v>5166</v>
      </c>
      <c r="D97" s="32">
        <f t="shared" si="15"/>
        <v>5979</v>
      </c>
      <c r="E97" s="32">
        <f t="shared" si="15"/>
        <v>6338</v>
      </c>
      <c r="F97" s="32">
        <f t="shared" si="15"/>
        <v>6462</v>
      </c>
      <c r="G97" s="32">
        <f t="shared" si="15"/>
        <v>6214</v>
      </c>
      <c r="I97" s="4" t="s">
        <v>387</v>
      </c>
    </row>
    <row r="98" spans="1:7" ht="12.75">
      <c r="A98" s="518" t="s">
        <v>599</v>
      </c>
      <c r="B98" s="28">
        <v>1426</v>
      </c>
      <c r="C98" s="28">
        <v>1543</v>
      </c>
      <c r="D98" s="28">
        <v>1635</v>
      </c>
      <c r="E98" s="28">
        <v>2327</v>
      </c>
      <c r="F98" s="28">
        <v>2737</v>
      </c>
      <c r="G98" s="28">
        <v>2689</v>
      </c>
    </row>
    <row r="99" spans="1:7" ht="12.75">
      <c r="A99" s="518" t="s">
        <v>600</v>
      </c>
      <c r="B99" s="28">
        <v>260</v>
      </c>
      <c r="C99" s="28">
        <v>238</v>
      </c>
      <c r="D99" s="28">
        <v>227</v>
      </c>
      <c r="E99" s="28">
        <v>299</v>
      </c>
      <c r="F99" s="28">
        <v>326</v>
      </c>
      <c r="G99" s="28">
        <v>278</v>
      </c>
    </row>
    <row r="100" spans="1:7" ht="12.75">
      <c r="A100" s="518" t="s">
        <v>601</v>
      </c>
      <c r="B100" s="28">
        <v>118</v>
      </c>
      <c r="C100" s="28">
        <v>573</v>
      </c>
      <c r="D100" s="28">
        <v>284</v>
      </c>
      <c r="E100" s="28">
        <v>500</v>
      </c>
      <c r="F100" s="28">
        <v>495</v>
      </c>
      <c r="G100" s="28">
        <v>321</v>
      </c>
    </row>
    <row r="101" spans="1:7" ht="12.75">
      <c r="A101" s="518" t="s">
        <v>602</v>
      </c>
      <c r="B101" s="28">
        <v>-441</v>
      </c>
      <c r="C101" s="28">
        <v>-202</v>
      </c>
      <c r="D101" s="28">
        <v>-235</v>
      </c>
      <c r="E101" s="28">
        <v>42</v>
      </c>
      <c r="F101" s="28">
        <v>0</v>
      </c>
      <c r="G101" s="28">
        <v>0</v>
      </c>
    </row>
    <row r="102" spans="1:12" ht="12.75">
      <c r="A102" s="518" t="s">
        <v>603</v>
      </c>
      <c r="B102" s="28">
        <v>-405</v>
      </c>
      <c r="C102" s="28">
        <v>-549</v>
      </c>
      <c r="D102" s="28">
        <v>188</v>
      </c>
      <c r="E102" s="28">
        <v>-268</v>
      </c>
      <c r="F102" s="28">
        <v>-666</v>
      </c>
      <c r="G102" s="28">
        <v>-250</v>
      </c>
      <c r="J102" s="39"/>
      <c r="K102" s="39"/>
      <c r="L102" s="39"/>
    </row>
    <row r="103" spans="1:12" ht="12.75">
      <c r="A103" s="518" t="s">
        <v>604</v>
      </c>
      <c r="B103" s="28">
        <v>-204</v>
      </c>
      <c r="C103" s="28">
        <v>-345</v>
      </c>
      <c r="D103" s="28">
        <v>17</v>
      </c>
      <c r="E103" s="28">
        <v>276</v>
      </c>
      <c r="F103" s="28">
        <v>-331</v>
      </c>
      <c r="G103" s="28">
        <v>144</v>
      </c>
      <c r="L103" s="33"/>
    </row>
    <row r="104" spans="1:7" ht="12.75">
      <c r="A104" s="518" t="s">
        <v>605</v>
      </c>
      <c r="B104" s="28">
        <v>-16</v>
      </c>
      <c r="C104" s="28">
        <v>-68</v>
      </c>
      <c r="D104" s="28">
        <v>-127</v>
      </c>
      <c r="E104" s="28">
        <v>144</v>
      </c>
      <c r="F104" s="28">
        <v>-27</v>
      </c>
      <c r="G104" s="28">
        <v>89</v>
      </c>
    </row>
    <row r="105" spans="1:7" ht="12.75">
      <c r="A105" s="518" t="s">
        <v>706</v>
      </c>
      <c r="B105" s="28"/>
      <c r="C105" s="28"/>
      <c r="D105" s="28"/>
      <c r="E105" s="28"/>
      <c r="F105" s="28"/>
      <c r="G105" s="28"/>
    </row>
    <row r="106" spans="1:7" ht="12.75">
      <c r="A106" s="518" t="s">
        <v>707</v>
      </c>
      <c r="B106" s="28"/>
      <c r="C106" s="28"/>
      <c r="D106" s="28"/>
      <c r="E106" s="28"/>
      <c r="F106" s="28"/>
      <c r="G106" s="28"/>
    </row>
    <row r="107" spans="1:7" ht="12.75">
      <c r="A107" s="518" t="s">
        <v>608</v>
      </c>
      <c r="B107" s="28">
        <v>522</v>
      </c>
      <c r="C107" s="28">
        <v>718</v>
      </c>
      <c r="D107" s="28">
        <v>-133</v>
      </c>
      <c r="E107" s="28">
        <v>488</v>
      </c>
      <c r="F107" s="28">
        <v>520</v>
      </c>
      <c r="G107" s="28">
        <v>548</v>
      </c>
    </row>
    <row r="108" spans="1:7" ht="12.75">
      <c r="A108" s="518" t="s">
        <v>657</v>
      </c>
      <c r="B108" s="28">
        <v>128</v>
      </c>
      <c r="C108" s="28">
        <v>-180</v>
      </c>
      <c r="D108" s="28">
        <v>319</v>
      </c>
      <c r="E108" s="28">
        <v>123</v>
      </c>
      <c r="F108" s="28">
        <v>-340</v>
      </c>
      <c r="G108" s="28">
        <v>-97</v>
      </c>
    </row>
    <row r="109" spans="1:7" ht="12.75">
      <c r="A109" s="518" t="s">
        <v>704</v>
      </c>
      <c r="B109" s="28"/>
      <c r="C109" s="28"/>
      <c r="D109" s="28"/>
      <c r="E109" s="28"/>
      <c r="F109" s="28"/>
      <c r="G109" s="28"/>
    </row>
    <row r="110" spans="1:7" ht="12.75">
      <c r="A110" s="518" t="s">
        <v>705</v>
      </c>
      <c r="B110" s="28"/>
      <c r="C110" s="28"/>
      <c r="D110" s="28"/>
      <c r="E110" s="28"/>
      <c r="F110" s="28"/>
      <c r="G110" s="28"/>
    </row>
    <row r="111" spans="1:7" ht="12.75">
      <c r="A111" s="518" t="s">
        <v>703</v>
      </c>
      <c r="B111" s="28">
        <f>102-22-208-310+535</f>
        <v>97</v>
      </c>
      <c r="C111" s="28">
        <f>543-180-107-219+459</f>
        <v>496</v>
      </c>
      <c r="D111" s="28">
        <f>36-196+50-49-42-1299+423</f>
        <v>-1077</v>
      </c>
      <c r="E111" s="28">
        <f>-31+808-385-958+145+120-107-1734+453</f>
        <v>-1689</v>
      </c>
      <c r="F111" s="28">
        <f>383-31+329-377-70-349+571</f>
        <v>456</v>
      </c>
      <c r="G111" s="28">
        <f>16-83+279-343+176-109-124-1865+796</f>
        <v>-1257</v>
      </c>
    </row>
    <row r="112" spans="1:7" ht="12.75">
      <c r="A112" s="518" t="s">
        <v>613</v>
      </c>
      <c r="B112" s="28">
        <v>-221</v>
      </c>
      <c r="C112" s="28">
        <v>-391</v>
      </c>
      <c r="D112" s="28">
        <v>-281</v>
      </c>
      <c r="E112" s="28">
        <v>-132</v>
      </c>
      <c r="F112" s="28">
        <v>-688</v>
      </c>
      <c r="G112" s="28">
        <v>-200</v>
      </c>
    </row>
    <row r="113" spans="1:9" ht="12.75">
      <c r="A113" s="31" t="s">
        <v>708</v>
      </c>
      <c r="B113" s="32">
        <f aca="true" t="shared" si="16" ref="B113:G113">SUM(B97:B112)</f>
        <v>6934</v>
      </c>
      <c r="C113" s="32">
        <f t="shared" si="16"/>
        <v>6999</v>
      </c>
      <c r="D113" s="32">
        <f t="shared" si="16"/>
        <v>6796</v>
      </c>
      <c r="E113" s="32">
        <f t="shared" si="16"/>
        <v>8448</v>
      </c>
      <c r="F113" s="32">
        <f t="shared" si="16"/>
        <v>8944</v>
      </c>
      <c r="G113" s="32">
        <f t="shared" si="16"/>
        <v>8479</v>
      </c>
      <c r="I113" s="4" t="s">
        <v>283</v>
      </c>
    </row>
    <row r="114" spans="1:7" ht="12.75">
      <c r="A114" s="518" t="s">
        <v>614</v>
      </c>
      <c r="B114" s="28">
        <v>47</v>
      </c>
      <c r="C114" s="28">
        <v>98</v>
      </c>
      <c r="D114" s="28">
        <v>58</v>
      </c>
      <c r="E114" s="28">
        <v>81</v>
      </c>
      <c r="F114" s="28">
        <v>84</v>
      </c>
      <c r="G114" s="28">
        <v>95</v>
      </c>
    </row>
    <row r="115" spans="1:7" ht="12.75">
      <c r="A115" s="518" t="s">
        <v>615</v>
      </c>
      <c r="B115" s="28">
        <v>-2430</v>
      </c>
      <c r="C115" s="28">
        <v>-2446</v>
      </c>
      <c r="D115" s="28">
        <v>-2128</v>
      </c>
      <c r="E115" s="28">
        <v>-3253</v>
      </c>
      <c r="F115" s="28">
        <v>-3339</v>
      </c>
      <c r="G115" s="28">
        <v>-2714</v>
      </c>
    </row>
    <row r="116" spans="1:7" ht="12.75">
      <c r="A116" s="518" t="s">
        <v>616</v>
      </c>
      <c r="B116" s="28">
        <f>-83+113-413</f>
        <v>-383</v>
      </c>
      <c r="C116" s="28">
        <f>1376-156+62</f>
        <v>1282</v>
      </c>
      <c r="D116" s="28">
        <v>55</v>
      </c>
      <c r="E116" s="28">
        <f>-229-12+29</f>
        <v>-212</v>
      </c>
      <c r="F116" s="28">
        <v>66</v>
      </c>
      <c r="G116" s="28">
        <v>61</v>
      </c>
    </row>
    <row r="117" spans="1:7" ht="12.75">
      <c r="A117" s="518" t="s">
        <v>617</v>
      </c>
      <c r="B117" s="28">
        <v>27</v>
      </c>
      <c r="C117" s="28">
        <f>358+6</f>
        <v>364</v>
      </c>
      <c r="D117" s="28">
        <v>99</v>
      </c>
      <c r="E117" s="28">
        <v>12</v>
      </c>
      <c r="F117" s="28">
        <v>780</v>
      </c>
      <c r="G117" s="28">
        <v>-32</v>
      </c>
    </row>
    <row r="118" spans="1:7" ht="12.75">
      <c r="A118" s="518" t="s">
        <v>618</v>
      </c>
      <c r="B118" s="28">
        <v>-1320</v>
      </c>
      <c r="C118" s="28">
        <v>-1925</v>
      </c>
      <c r="D118" s="28">
        <v>-500</v>
      </c>
      <c r="E118" s="28">
        <f>-2833-900-463-83</f>
        <v>-4279</v>
      </c>
      <c r="F118" s="28">
        <f>-2428-164-601</f>
        <v>-3193</v>
      </c>
      <c r="G118" s="28">
        <f>-306-121</f>
        <v>-427</v>
      </c>
    </row>
    <row r="119" spans="1:7" ht="12.75">
      <c r="A119" s="518" t="s">
        <v>682</v>
      </c>
      <c r="B119" s="28">
        <v>315</v>
      </c>
      <c r="C119" s="28">
        <v>-40</v>
      </c>
      <c r="D119" s="28"/>
      <c r="E119" s="28"/>
      <c r="F119" s="28"/>
      <c r="G119" s="28"/>
    </row>
    <row r="120" spans="1:7" ht="12.75">
      <c r="A120" s="518" t="s">
        <v>683</v>
      </c>
      <c r="B120" s="28"/>
      <c r="C120" s="28"/>
      <c r="D120" s="28">
        <v>15</v>
      </c>
      <c r="E120" s="28">
        <v>-17</v>
      </c>
      <c r="F120" s="28">
        <v>-16</v>
      </c>
      <c r="G120" s="28">
        <v>12</v>
      </c>
    </row>
    <row r="121" spans="1:9" ht="12.75">
      <c r="A121" s="31" t="s">
        <v>422</v>
      </c>
      <c r="B121" s="32">
        <f aca="true" t="shared" si="17" ref="B121:G121">SUM(B114:B120)</f>
        <v>-3744</v>
      </c>
      <c r="C121" s="32">
        <f t="shared" si="17"/>
        <v>-2667</v>
      </c>
      <c r="D121" s="32">
        <f t="shared" si="17"/>
        <v>-2401</v>
      </c>
      <c r="E121" s="32">
        <f t="shared" si="17"/>
        <v>-7668</v>
      </c>
      <c r="F121" s="32">
        <f t="shared" si="17"/>
        <v>-5618</v>
      </c>
      <c r="G121" s="32">
        <f t="shared" si="17"/>
        <v>-3005</v>
      </c>
      <c r="I121" s="4" t="s">
        <v>284</v>
      </c>
    </row>
    <row r="122" spans="1:7" ht="12.75">
      <c r="A122" s="518" t="s">
        <v>769</v>
      </c>
      <c r="B122" s="28">
        <f>83-133-345</f>
        <v>-395</v>
      </c>
      <c r="C122" s="28">
        <f>89+625-269</f>
        <v>445</v>
      </c>
      <c r="D122" s="28">
        <f>26+-81-963</f>
        <v>-1018</v>
      </c>
      <c r="E122" s="28">
        <f>227+2351-96</f>
        <v>2482</v>
      </c>
      <c r="F122" s="28">
        <f>523+339-559</f>
        <v>303</v>
      </c>
      <c r="G122" s="28">
        <f>549-248-1762</f>
        <v>-1461</v>
      </c>
    </row>
    <row r="123" spans="1:7" ht="12.75">
      <c r="A123" s="518" t="s">
        <v>770</v>
      </c>
      <c r="B123" s="28">
        <f>2168-579</f>
        <v>1589</v>
      </c>
      <c r="C123" s="28">
        <f>3719-649</f>
        <v>3070</v>
      </c>
      <c r="D123" s="28">
        <f>1057-226</f>
        <v>831</v>
      </c>
      <c r="E123" s="28">
        <f>6451-559</f>
        <v>5892</v>
      </c>
      <c r="F123" s="28">
        <f>3000-1596-771</f>
        <v>633</v>
      </c>
      <c r="G123" s="28">
        <f>5999-2449</f>
        <v>3550</v>
      </c>
    </row>
    <row r="124" spans="1:7" ht="12.75">
      <c r="A124" s="518" t="s">
        <v>619</v>
      </c>
      <c r="B124" s="28">
        <v>0</v>
      </c>
      <c r="C124" s="28">
        <v>0</v>
      </c>
      <c r="D124" s="28">
        <v>0</v>
      </c>
      <c r="E124" s="28">
        <v>0</v>
      </c>
      <c r="F124" s="28">
        <v>0</v>
      </c>
      <c r="G124" s="28">
        <v>0</v>
      </c>
    </row>
    <row r="125" spans="1:11" ht="12.75">
      <c r="A125" s="518" t="s">
        <v>620</v>
      </c>
      <c r="B125" s="28">
        <v>1108</v>
      </c>
      <c r="C125" s="28">
        <v>620</v>
      </c>
      <c r="D125" s="28">
        <f>413+42</f>
        <v>455</v>
      </c>
      <c r="E125" s="28">
        <f>1038+107</f>
        <v>1145</v>
      </c>
      <c r="F125" s="28">
        <f>945+70</f>
        <v>1015</v>
      </c>
      <c r="G125" s="28">
        <f>1122+124</f>
        <v>1246</v>
      </c>
      <c r="I125" s="33"/>
      <c r="J125" s="33"/>
      <c r="K125" s="33"/>
    </row>
    <row r="126" spans="1:15" ht="12.75">
      <c r="A126" s="518" t="s">
        <v>621</v>
      </c>
      <c r="B126" s="28">
        <f>-4300-12</f>
        <v>-4312</v>
      </c>
      <c r="C126" s="28">
        <f>-4720-6</f>
        <v>-4726</v>
      </c>
      <c r="D126" s="28">
        <v>-7</v>
      </c>
      <c r="E126" s="28">
        <f>-4978-5</f>
        <v>-4983</v>
      </c>
      <c r="F126" s="28">
        <v>-2496</v>
      </c>
      <c r="G126" s="28">
        <f>-3219-7</f>
        <v>-3226</v>
      </c>
      <c r="I126" s="33"/>
      <c r="J126" s="33"/>
      <c r="K126" s="33"/>
      <c r="L126" s="33"/>
      <c r="M126" s="33"/>
      <c r="N126" s="33"/>
      <c r="O126" s="33"/>
    </row>
    <row r="127" spans="1:15" ht="12.75">
      <c r="A127" s="518" t="s">
        <v>622</v>
      </c>
      <c r="B127" s="28">
        <v>-2204</v>
      </c>
      <c r="C127" s="28">
        <v>-2541</v>
      </c>
      <c r="D127" s="28">
        <v>-2732</v>
      </c>
      <c r="E127" s="28">
        <v>-2978</v>
      </c>
      <c r="F127" s="28">
        <v>-3157</v>
      </c>
      <c r="G127" s="28">
        <v>-3305</v>
      </c>
      <c r="I127" s="33"/>
      <c r="J127" s="33"/>
      <c r="K127" s="33"/>
      <c r="L127" s="33"/>
      <c r="M127" s="33"/>
      <c r="N127" s="33"/>
      <c r="O127" s="33"/>
    </row>
    <row r="128" spans="1:15" ht="12.75">
      <c r="A128" s="518" t="s">
        <v>623</v>
      </c>
      <c r="B128" s="28">
        <v>208</v>
      </c>
      <c r="C128" s="28">
        <v>107</v>
      </c>
      <c r="D128" s="28">
        <v>0</v>
      </c>
      <c r="E128" s="28">
        <v>-159</v>
      </c>
      <c r="F128" s="28">
        <v>-1406</v>
      </c>
      <c r="G128" s="28">
        <v>-68</v>
      </c>
      <c r="I128" s="33"/>
      <c r="J128" s="33"/>
      <c r="K128" s="33"/>
      <c r="L128" s="33"/>
      <c r="M128" s="33"/>
      <c r="N128" s="33"/>
      <c r="O128" s="33"/>
    </row>
    <row r="129" spans="1:7" ht="12.75">
      <c r="A129" s="518" t="s">
        <v>624</v>
      </c>
      <c r="B129" s="28"/>
      <c r="C129" s="28"/>
      <c r="D129" s="28">
        <v>-26</v>
      </c>
      <c r="E129" s="28">
        <v>-13</v>
      </c>
      <c r="F129" s="28">
        <v>-27</v>
      </c>
      <c r="G129" s="28">
        <v>-42</v>
      </c>
    </row>
    <row r="130" spans="1:9" ht="12.75">
      <c r="A130" s="31" t="s">
        <v>423</v>
      </c>
      <c r="B130" s="32">
        <f aca="true" t="shared" si="18" ref="B130:G130">SUM(B122:B129)</f>
        <v>-4006</v>
      </c>
      <c r="C130" s="32">
        <f t="shared" si="18"/>
        <v>-3025</v>
      </c>
      <c r="D130" s="32">
        <f t="shared" si="18"/>
        <v>-2497</v>
      </c>
      <c r="E130" s="32">
        <f t="shared" si="18"/>
        <v>1386</v>
      </c>
      <c r="F130" s="32">
        <f t="shared" si="18"/>
        <v>-5135</v>
      </c>
      <c r="G130" s="32">
        <f t="shared" si="18"/>
        <v>-3306</v>
      </c>
      <c r="I130" s="4" t="s">
        <v>285</v>
      </c>
    </row>
    <row r="131" spans="1:7" ht="12.75">
      <c r="A131" s="34" t="s">
        <v>35</v>
      </c>
      <c r="B131" s="28">
        <v>75</v>
      </c>
      <c r="C131" s="28">
        <v>-153</v>
      </c>
      <c r="D131" s="28">
        <v>-19</v>
      </c>
      <c r="E131" s="28">
        <v>-166</v>
      </c>
      <c r="F131" s="28">
        <v>-67</v>
      </c>
      <c r="G131" s="28">
        <v>62</v>
      </c>
    </row>
    <row r="132" spans="1:9" ht="12.75">
      <c r="A132" s="31" t="s">
        <v>370</v>
      </c>
      <c r="B132" s="32">
        <f aca="true" t="shared" si="19" ref="B132:G132">B113+B121+B130+B131</f>
        <v>-741</v>
      </c>
      <c r="C132" s="32">
        <f t="shared" si="19"/>
        <v>1154</v>
      </c>
      <c r="D132" s="32">
        <f t="shared" si="19"/>
        <v>1879</v>
      </c>
      <c r="E132" s="32">
        <f t="shared" si="19"/>
        <v>2000</v>
      </c>
      <c r="F132" s="32">
        <f t="shared" si="19"/>
        <v>-1876</v>
      </c>
      <c r="G132" s="32">
        <f t="shared" si="19"/>
        <v>2230</v>
      </c>
      <c r="I132" s="4" t="s">
        <v>388</v>
      </c>
    </row>
    <row r="133" spans="1:7" ht="12.75">
      <c r="A133" s="519" t="s">
        <v>625</v>
      </c>
      <c r="B133" s="536">
        <f>B134-B132</f>
        <v>1651</v>
      </c>
      <c r="C133" s="536">
        <f>B16</f>
        <v>910</v>
      </c>
      <c r="D133" s="536">
        <f>C16</f>
        <v>2064</v>
      </c>
      <c r="E133" s="536">
        <f>D16</f>
        <v>3943</v>
      </c>
      <c r="F133" s="536">
        <f>E16</f>
        <v>5943</v>
      </c>
      <c r="G133" s="536">
        <f>F16</f>
        <v>4067</v>
      </c>
    </row>
    <row r="134" spans="1:7" ht="12.75">
      <c r="A134" s="519" t="s">
        <v>626</v>
      </c>
      <c r="B134" s="536">
        <f aca="true" t="shared" si="20" ref="B134:G134">B16</f>
        <v>910</v>
      </c>
      <c r="C134" s="536">
        <f t="shared" si="20"/>
        <v>2064</v>
      </c>
      <c r="D134" s="536">
        <f t="shared" si="20"/>
        <v>3943</v>
      </c>
      <c r="E134" s="536">
        <f t="shared" si="20"/>
        <v>5943</v>
      </c>
      <c r="F134" s="536">
        <f t="shared" si="20"/>
        <v>4067</v>
      </c>
      <c r="G134" s="536">
        <f t="shared" si="20"/>
        <v>6297</v>
      </c>
    </row>
    <row r="135" spans="1:7" ht="12.75">
      <c r="A135" s="34"/>
      <c r="B135" s="532"/>
      <c r="C135" s="532"/>
      <c r="D135" s="26"/>
      <c r="E135" s="26"/>
      <c r="F135" s="26"/>
      <c r="G135" s="26"/>
    </row>
    <row r="136" spans="1:7" ht="12.75">
      <c r="A136" s="34"/>
      <c r="B136" s="532"/>
      <c r="C136" s="532"/>
      <c r="D136" s="26"/>
      <c r="E136" s="26"/>
      <c r="F136" s="26"/>
      <c r="G136" s="26"/>
    </row>
    <row r="137" spans="2:3" ht="12.75">
      <c r="B137" s="518"/>
      <c r="C137" s="518"/>
    </row>
    <row r="138" spans="1:9" ht="12.75">
      <c r="A138" s="25" t="s">
        <v>169</v>
      </c>
      <c r="B138" s="37">
        <f aca="true" t="shared" si="21" ref="B138:G138">B11</f>
        <v>2007</v>
      </c>
      <c r="C138" s="37">
        <f t="shared" si="21"/>
        <v>2008</v>
      </c>
      <c r="D138" s="37">
        <f t="shared" si="21"/>
        <v>2009</v>
      </c>
      <c r="E138" s="37">
        <f t="shared" si="21"/>
        <v>2010</v>
      </c>
      <c r="F138" s="37">
        <f t="shared" si="21"/>
        <v>2011</v>
      </c>
      <c r="G138" s="37">
        <f t="shared" si="21"/>
        <v>2012</v>
      </c>
      <c r="I138" s="27" t="s">
        <v>500</v>
      </c>
    </row>
    <row r="139" spans="1:7" ht="12.75">
      <c r="A139" s="25"/>
      <c r="B139" s="37"/>
      <c r="C139" s="37"/>
      <c r="D139" s="37"/>
      <c r="E139" s="37"/>
      <c r="F139" s="37"/>
      <c r="G139" s="37"/>
    </row>
    <row r="140" spans="1:9" ht="12.75">
      <c r="A140" s="519" t="s">
        <v>627</v>
      </c>
      <c r="B140" s="40">
        <v>0.35</v>
      </c>
      <c r="C140" s="40">
        <v>0.35</v>
      </c>
      <c r="D140" s="40">
        <v>0.35</v>
      </c>
      <c r="E140" s="40">
        <v>0.35</v>
      </c>
      <c r="F140" s="40">
        <v>0.35</v>
      </c>
      <c r="G140" s="40">
        <v>0.35</v>
      </c>
      <c r="I140" s="4" t="s">
        <v>286</v>
      </c>
    </row>
    <row r="141" spans="1:9" ht="12.75">
      <c r="A141" s="519" t="s">
        <v>628</v>
      </c>
      <c r="B141" s="41">
        <f aca="true" t="shared" si="22" ref="B141:G141">-B82/B81</f>
        <v>0.25814470757555935</v>
      </c>
      <c r="C141" s="41">
        <f t="shared" si="22"/>
        <v>0.2667139815471966</v>
      </c>
      <c r="D141" s="41">
        <f t="shared" si="22"/>
        <v>0.25993316004455996</v>
      </c>
      <c r="E141" s="41">
        <f t="shared" si="22"/>
        <v>0.23007774538386783</v>
      </c>
      <c r="F141" s="41">
        <f t="shared" si="22"/>
        <v>0.26850803712927324</v>
      </c>
      <c r="G141" s="41">
        <f t="shared" si="22"/>
        <v>0.2516859344894027</v>
      </c>
      <c r="H141" s="33"/>
      <c r="I141" s="4" t="s">
        <v>389</v>
      </c>
    </row>
    <row r="142" spans="1:9" s="34" customFormat="1" ht="26.25">
      <c r="A142" s="520" t="s">
        <v>629</v>
      </c>
      <c r="B142" s="42">
        <f>12-70+129</f>
        <v>71</v>
      </c>
      <c r="C142" s="42">
        <f>-223-408-114</f>
        <v>-745</v>
      </c>
      <c r="D142" s="42">
        <f>173-29-44</f>
        <v>100</v>
      </c>
      <c r="E142" s="42">
        <f>58+958-648-333-120-92-64-114</f>
        <v>-355</v>
      </c>
      <c r="F142" s="42">
        <f>64-71-286-271-28</f>
        <v>-592</v>
      </c>
      <c r="G142" s="42">
        <f>41-12-215-176-131+217</f>
        <v>-276</v>
      </c>
      <c r="I142" s="34" t="s">
        <v>403</v>
      </c>
    </row>
    <row r="143" spans="1:9" s="34" customFormat="1" ht="12.75">
      <c r="A143" s="520" t="s">
        <v>630</v>
      </c>
      <c r="B143" s="28">
        <v>1304</v>
      </c>
      <c r="C143" s="28">
        <v>1422</v>
      </c>
      <c r="D143" s="28">
        <v>1500</v>
      </c>
      <c r="E143" s="28">
        <v>2124</v>
      </c>
      <c r="F143" s="28">
        <v>2476</v>
      </c>
      <c r="G143" s="28">
        <v>2489</v>
      </c>
      <c r="I143" s="34" t="s">
        <v>175</v>
      </c>
    </row>
    <row r="144" spans="1:9" ht="12.75">
      <c r="A144" s="519" t="s">
        <v>631</v>
      </c>
      <c r="B144" s="28">
        <f>5.46*0.287553</f>
        <v>1.57003938</v>
      </c>
      <c r="C144" s="28">
        <f>5.46*0.266253</f>
        <v>1.45374138</v>
      </c>
      <c r="D144" s="28">
        <v>2</v>
      </c>
      <c r="E144" s="28">
        <v>1</v>
      </c>
      <c r="F144" s="28">
        <v>1</v>
      </c>
      <c r="G144" s="28">
        <v>1</v>
      </c>
      <c r="I144" s="4" t="s">
        <v>287</v>
      </c>
    </row>
    <row r="145" spans="1:9" ht="12.75">
      <c r="A145" s="518" t="s">
        <v>632</v>
      </c>
      <c r="B145" s="28">
        <f>1782-177</f>
        <v>1605</v>
      </c>
      <c r="C145" s="28">
        <f>1782-229</f>
        <v>1553</v>
      </c>
      <c r="D145" s="28">
        <v>1566</v>
      </c>
      <c r="E145" s="28">
        <v>1582</v>
      </c>
      <c r="F145" s="28">
        <v>1565</v>
      </c>
      <c r="G145" s="28">
        <v>1544</v>
      </c>
      <c r="I145" s="4" t="s">
        <v>404</v>
      </c>
    </row>
    <row r="146" spans="1:9" ht="12.75">
      <c r="A146" s="518" t="s">
        <v>633</v>
      </c>
      <c r="B146" s="43">
        <v>3.48</v>
      </c>
      <c r="C146" s="43">
        <v>3.26</v>
      </c>
      <c r="D146" s="43">
        <v>3.81</v>
      </c>
      <c r="E146" s="43">
        <v>3.97</v>
      </c>
      <c r="F146" s="43">
        <v>4.08</v>
      </c>
      <c r="G146" s="43">
        <v>3.96</v>
      </c>
      <c r="I146" s="4" t="s">
        <v>288</v>
      </c>
    </row>
    <row r="147" spans="1:9" ht="12.75">
      <c r="A147" s="518" t="s">
        <v>634</v>
      </c>
      <c r="B147" s="535">
        <f aca="true" t="shared" si="23" ref="B147:G147">-B127/B145</f>
        <v>1.3732087227414331</v>
      </c>
      <c r="C147" s="535">
        <f t="shared" si="23"/>
        <v>1.63618802318094</v>
      </c>
      <c r="D147" s="535">
        <f t="shared" si="23"/>
        <v>1.7445721583652618</v>
      </c>
      <c r="E147" s="535">
        <f t="shared" si="23"/>
        <v>1.8824273072060682</v>
      </c>
      <c r="F147" s="535">
        <f t="shared" si="23"/>
        <v>2.017252396166134</v>
      </c>
      <c r="G147" s="535">
        <f t="shared" si="23"/>
        <v>2.1405440414507773</v>
      </c>
      <c r="I147" s="4" t="s">
        <v>289</v>
      </c>
    </row>
    <row r="148" spans="1:9" ht="12.75">
      <c r="A148" s="518" t="s">
        <v>756</v>
      </c>
      <c r="B148" s="43">
        <v>65.86</v>
      </c>
      <c r="C148" s="43">
        <v>48.14</v>
      </c>
      <c r="D148" s="43">
        <v>56.22</v>
      </c>
      <c r="E148" s="43">
        <v>61.95</v>
      </c>
      <c r="F148" s="43">
        <v>64.86</v>
      </c>
      <c r="G148" s="43">
        <v>68.43</v>
      </c>
      <c r="H148" s="530"/>
      <c r="I148" s="4" t="s">
        <v>405</v>
      </c>
    </row>
    <row r="149" ht="12.75">
      <c r="G149" s="518"/>
    </row>
    <row r="150" spans="2:7" ht="12.75">
      <c r="B150" s="36"/>
      <c r="C150" s="36"/>
      <c r="D150" s="36"/>
      <c r="E150" s="618"/>
      <c r="F150" s="618"/>
      <c r="G150" s="618"/>
    </row>
    <row r="151" spans="1:7" ht="12.75">
      <c r="A151" s="44" t="s">
        <v>427</v>
      </c>
      <c r="B151" s="44"/>
      <c r="C151" s="45"/>
      <c r="D151" s="45"/>
      <c r="E151" s="45"/>
      <c r="F151" s="45"/>
      <c r="G151" s="45"/>
    </row>
    <row r="152" spans="1:9" ht="12.75">
      <c r="A152" s="45" t="s">
        <v>166</v>
      </c>
      <c r="B152" s="45">
        <f aca="true" t="shared" si="24" ref="B152:G152">B33-B60</f>
        <v>0</v>
      </c>
      <c r="C152" s="45">
        <f t="shared" si="24"/>
        <v>0</v>
      </c>
      <c r="D152" s="45">
        <f t="shared" si="24"/>
        <v>0</v>
      </c>
      <c r="E152" s="45">
        <f t="shared" si="24"/>
        <v>0</v>
      </c>
      <c r="F152" s="45">
        <f t="shared" si="24"/>
        <v>0</v>
      </c>
      <c r="G152" s="45">
        <f t="shared" si="24"/>
        <v>0</v>
      </c>
      <c r="I152" s="4" t="s">
        <v>406</v>
      </c>
    </row>
    <row r="153" spans="1:9" ht="12.75">
      <c r="A153" s="45" t="s">
        <v>167</v>
      </c>
      <c r="B153" s="45">
        <f aca="true" t="shared" si="25" ref="B153:G153">B88-B89</f>
        <v>0</v>
      </c>
      <c r="C153" s="45">
        <f t="shared" si="25"/>
        <v>0</v>
      </c>
      <c r="D153" s="45">
        <f t="shared" si="25"/>
        <v>0</v>
      </c>
      <c r="E153" s="45">
        <f t="shared" si="25"/>
        <v>0</v>
      </c>
      <c r="F153" s="45">
        <f t="shared" si="25"/>
        <v>0</v>
      </c>
      <c r="G153" s="45">
        <f t="shared" si="25"/>
        <v>0</v>
      </c>
      <c r="I153" s="4" t="s">
        <v>407</v>
      </c>
    </row>
    <row r="154" spans="1:9" ht="12.75">
      <c r="A154" s="45" t="s">
        <v>168</v>
      </c>
      <c r="B154" s="45"/>
      <c r="C154" s="45">
        <f>C132-(C16-B16)</f>
        <v>0</v>
      </c>
      <c r="D154" s="45">
        <f>D132-(D16-C16)</f>
        <v>0</v>
      </c>
      <c r="E154" s="45">
        <f>E132-(E16-D16)</f>
        <v>0</v>
      </c>
      <c r="F154" s="45">
        <f>F132-(F16-E16)</f>
        <v>0</v>
      </c>
      <c r="G154" s="45">
        <f>G132-(G16-F16)</f>
        <v>0</v>
      </c>
      <c r="I154" s="4" t="s">
        <v>408</v>
      </c>
    </row>
    <row r="157" spans="2:7" ht="12.75">
      <c r="B157" s="46"/>
      <c r="C157" s="46"/>
      <c r="D157" s="46"/>
      <c r="E157" s="46"/>
      <c r="F157" s="46"/>
      <c r="G157" s="46"/>
    </row>
    <row r="158" spans="3:7" ht="12.75">
      <c r="C158" s="46"/>
      <c r="D158" s="46"/>
      <c r="E158" s="46"/>
      <c r="F158" s="46"/>
      <c r="G158" s="46"/>
    </row>
    <row r="159" spans="3:7" ht="12.75">
      <c r="C159" s="46"/>
      <c r="D159" s="46"/>
      <c r="E159" s="46"/>
      <c r="F159" s="46"/>
      <c r="G159" s="46"/>
    </row>
  </sheetData>
  <sheetProtection/>
  <printOptions/>
  <pageMargins left="0.75" right="0.75" top="1" bottom="1" header="0.5" footer="0.5"/>
  <pageSetup horizontalDpi="600" verticalDpi="600" orientation="portrait" scale="83" r:id="rId1"/>
  <rowBreaks count="3" manualBreakCount="3">
    <brk id="60" max="6" man="1"/>
    <brk id="93" max="6" man="1"/>
    <brk id="136" max="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W654"/>
  <sheetViews>
    <sheetView zoomScalePageLayoutView="0" workbookViewId="0" topLeftCell="A46">
      <selection activeCell="H75" sqref="H75"/>
    </sheetView>
  </sheetViews>
  <sheetFormatPr defaultColWidth="9.140625" defaultRowHeight="12.75"/>
  <cols>
    <col min="1" max="1" width="40.00390625" style="17" customWidth="1"/>
    <col min="2" max="6" width="10.7109375" style="17" customWidth="1"/>
    <col min="7" max="8" width="9.7109375" style="17" customWidth="1"/>
    <col min="9" max="9" width="10.7109375" style="17" customWidth="1"/>
    <col min="10" max="16384" width="9.140625" style="17" customWidth="1"/>
  </cols>
  <sheetData>
    <row r="1" spans="1:14" ht="12.75" customHeight="1">
      <c r="A1" s="1" t="str">
        <f>Data!A1</f>
        <v>Financial Statement Analysis Package (FSAP): Version 8.0</v>
      </c>
      <c r="B1" s="2"/>
      <c r="C1" s="2"/>
      <c r="D1" s="2"/>
      <c r="E1" s="2"/>
      <c r="F1" s="3"/>
      <c r="G1" s="47"/>
      <c r="H1" s="47"/>
      <c r="I1" s="47"/>
      <c r="J1" s="5"/>
      <c r="K1" s="6"/>
      <c r="L1" s="6"/>
      <c r="M1" s="6"/>
      <c r="N1" s="7"/>
    </row>
    <row r="2" spans="1:14" ht="12.75" customHeight="1">
      <c r="A2" s="9" t="str">
        <f>Data!A2</f>
        <v>Financial Reporting, Financial Statement Analysis, and Valuation: A Strategic Perspective, 8th Edition</v>
      </c>
      <c r="B2" s="10"/>
      <c r="C2" s="10"/>
      <c r="D2" s="10"/>
      <c r="E2" s="10"/>
      <c r="F2" s="11"/>
      <c r="G2" s="47"/>
      <c r="H2" s="47"/>
      <c r="I2" s="47"/>
      <c r="J2" s="9" t="s">
        <v>413</v>
      </c>
      <c r="K2" s="10"/>
      <c r="L2" s="10"/>
      <c r="M2" s="10"/>
      <c r="N2" s="11"/>
    </row>
    <row r="3" spans="1:19" ht="12.75" customHeight="1" thickBot="1">
      <c r="A3" s="12" t="s">
        <v>414</v>
      </c>
      <c r="B3" s="13"/>
      <c r="C3" s="13"/>
      <c r="D3" s="13"/>
      <c r="E3" s="13"/>
      <c r="F3" s="14"/>
      <c r="G3" s="47"/>
      <c r="H3" s="47"/>
      <c r="I3" s="47"/>
      <c r="J3" s="15"/>
      <c r="K3" s="13"/>
      <c r="L3" s="13"/>
      <c r="M3" s="13"/>
      <c r="N3" s="14"/>
      <c r="O3" s="47"/>
      <c r="P3" s="47"/>
      <c r="Q3" s="47"/>
      <c r="R3" s="47"/>
      <c r="S3" s="47"/>
    </row>
    <row r="4" spans="1:14" s="47" customFormat="1" ht="12.75" customHeight="1">
      <c r="A4" s="48"/>
      <c r="B4" s="49"/>
      <c r="C4" s="49"/>
      <c r="D4" s="49"/>
      <c r="E4" s="49"/>
      <c r="F4" s="49"/>
      <c r="J4" s="50"/>
      <c r="K4" s="50"/>
      <c r="L4" s="50"/>
      <c r="M4" s="50"/>
      <c r="N4" s="50"/>
    </row>
    <row r="5" spans="1:19" s="47" customFormat="1" ht="12.75" customHeight="1">
      <c r="A5" s="49"/>
      <c r="B5" s="49"/>
      <c r="C5" s="49"/>
      <c r="D5" s="49"/>
      <c r="E5" s="49"/>
      <c r="F5" s="49"/>
      <c r="G5" s="17"/>
      <c r="H5" s="17"/>
      <c r="I5" s="17"/>
      <c r="K5" s="16"/>
      <c r="L5" s="16"/>
      <c r="M5" s="16"/>
      <c r="N5" s="16"/>
      <c r="O5" s="17"/>
      <c r="Q5" s="17"/>
      <c r="S5" s="17"/>
    </row>
    <row r="6" spans="1:14" s="47" customFormat="1" ht="12.75" customHeight="1">
      <c r="A6" s="18" t="s">
        <v>409</v>
      </c>
      <c r="B6" s="49"/>
      <c r="C6" s="49"/>
      <c r="D6" s="49"/>
      <c r="E6" s="49"/>
      <c r="F6" s="49"/>
      <c r="G6" s="17"/>
      <c r="H6" s="17"/>
      <c r="I6" s="17"/>
      <c r="J6" s="51" t="s">
        <v>300</v>
      </c>
      <c r="K6" s="16"/>
      <c r="L6" s="16"/>
      <c r="M6" s="16"/>
      <c r="N6" s="16"/>
    </row>
    <row r="7" spans="1:19" s="47" customFormat="1" ht="12.75" customHeight="1">
      <c r="A7" s="49"/>
      <c r="B7" s="49"/>
      <c r="C7" s="49"/>
      <c r="D7" s="49"/>
      <c r="E7" s="49"/>
      <c r="F7" s="49"/>
      <c r="J7" s="47" t="s">
        <v>301</v>
      </c>
      <c r="K7" s="16"/>
      <c r="L7" s="16"/>
      <c r="M7" s="16"/>
      <c r="N7" s="16"/>
      <c r="O7" s="17"/>
      <c r="P7" s="17"/>
      <c r="Q7" s="17"/>
      <c r="R7" s="17"/>
      <c r="S7" s="17"/>
    </row>
    <row r="8" spans="1:14" ht="12.75" customHeight="1" thickBot="1">
      <c r="A8" s="49"/>
      <c r="B8" s="49"/>
      <c r="C8" s="49"/>
      <c r="D8" s="49"/>
      <c r="E8" s="49"/>
      <c r="F8" s="49"/>
      <c r="G8" s="47"/>
      <c r="H8" s="47"/>
      <c r="I8" s="47"/>
      <c r="J8" s="51"/>
      <c r="K8" s="16"/>
      <c r="L8" s="16"/>
      <c r="M8" s="16"/>
      <c r="N8" s="16"/>
    </row>
    <row r="9" spans="1:13" ht="12.75" customHeight="1">
      <c r="A9" s="52" t="str">
        <f>Data!A9</f>
        <v>Analyst Name:</v>
      </c>
      <c r="B9" s="53" t="str">
        <f>Data!B9</f>
        <v>Wahlen, Baginski &amp; Bradshaw</v>
      </c>
      <c r="C9" s="53"/>
      <c r="D9" s="53"/>
      <c r="E9" s="53"/>
      <c r="F9" s="54"/>
      <c r="G9" s="47"/>
      <c r="H9" s="47"/>
      <c r="I9" s="47"/>
      <c r="J9" s="16"/>
      <c r="K9" s="47"/>
      <c r="L9" s="47"/>
      <c r="M9" s="47"/>
    </row>
    <row r="10" spans="1:19" ht="12.75" customHeight="1" thickBot="1">
      <c r="A10" s="55" t="str">
        <f>Data!A10</f>
        <v>Company Name:</v>
      </c>
      <c r="B10" s="56" t="str">
        <f>Data!B10</f>
        <v>PepsiCo</v>
      </c>
      <c r="C10" s="57"/>
      <c r="D10" s="57"/>
      <c r="E10" s="57"/>
      <c r="F10" s="58"/>
      <c r="G10" s="47"/>
      <c r="H10" s="47"/>
      <c r="I10" s="47"/>
      <c r="J10" s="47"/>
      <c r="K10" s="47"/>
      <c r="L10" s="47"/>
      <c r="M10" s="47"/>
      <c r="N10" s="47"/>
      <c r="O10" s="47"/>
      <c r="P10" s="47"/>
      <c r="Q10" s="47"/>
      <c r="R10" s="47"/>
      <c r="S10" s="47"/>
    </row>
    <row r="11" spans="1:6" ht="12.75" customHeight="1">
      <c r="A11" s="49"/>
      <c r="B11" s="49"/>
      <c r="C11" s="49"/>
      <c r="D11" s="49"/>
      <c r="E11" s="49"/>
      <c r="F11" s="49"/>
    </row>
    <row r="12" spans="1:6" ht="12.75" customHeight="1">
      <c r="A12" s="59"/>
      <c r="B12" s="59"/>
      <c r="C12" s="59"/>
      <c r="D12" s="59"/>
      <c r="E12" s="59"/>
      <c r="F12" s="59"/>
    </row>
    <row r="13" spans="1:19" ht="12.75" customHeight="1">
      <c r="A13" s="60" t="s">
        <v>437</v>
      </c>
      <c r="B13" s="61"/>
      <c r="C13" s="61"/>
      <c r="D13" s="61"/>
      <c r="E13" s="61"/>
      <c r="F13" s="62"/>
      <c r="G13" s="47"/>
      <c r="H13" s="47"/>
      <c r="I13" s="47"/>
      <c r="J13" s="47"/>
      <c r="K13" s="47"/>
      <c r="L13" s="47"/>
      <c r="M13" s="47"/>
      <c r="N13" s="47"/>
      <c r="O13" s="47"/>
      <c r="P13" s="47"/>
      <c r="Q13" s="47"/>
      <c r="R13" s="47"/>
      <c r="S13" s="47"/>
    </row>
    <row r="14" spans="1:19" ht="12.75" customHeight="1">
      <c r="A14" s="63" t="str">
        <f>Data!A152</f>
        <v>Assets - Liabilities - Equities</v>
      </c>
      <c r="B14" s="64">
        <f>Data!B152</f>
        <v>0</v>
      </c>
      <c r="C14" s="64">
        <f>Data!C152</f>
        <v>0</v>
      </c>
      <c r="D14" s="64">
        <f>Data!D152</f>
        <v>0</v>
      </c>
      <c r="E14" s="64">
        <f>Data!E152</f>
        <v>0</v>
      </c>
      <c r="F14" s="64">
        <f>Data!F152</f>
        <v>0</v>
      </c>
      <c r="G14" s="47"/>
      <c r="H14" s="47"/>
      <c r="I14" s="47"/>
      <c r="J14" s="16" t="s">
        <v>303</v>
      </c>
      <c r="K14" s="47"/>
      <c r="L14" s="47"/>
      <c r="M14" s="47"/>
      <c r="N14" s="47"/>
      <c r="O14" s="47"/>
      <c r="P14" s="47"/>
      <c r="Q14" s="47"/>
      <c r="R14" s="47"/>
      <c r="S14" s="47"/>
    </row>
    <row r="15" spans="1:18" ht="12.75" customHeight="1">
      <c r="A15" s="65" t="str">
        <f>Data!A153</f>
        <v>Net Income (computed) - Net Income (reported)</v>
      </c>
      <c r="B15" s="64">
        <f>Data!B153</f>
        <v>0</v>
      </c>
      <c r="C15" s="64">
        <f>Data!C153</f>
        <v>0</v>
      </c>
      <c r="D15" s="64">
        <f>Data!D153</f>
        <v>0</v>
      </c>
      <c r="E15" s="64">
        <f>Data!E153</f>
        <v>0</v>
      </c>
      <c r="F15" s="64">
        <f>Data!F153</f>
        <v>0</v>
      </c>
      <c r="G15" s="47"/>
      <c r="H15" s="47"/>
      <c r="I15" s="47"/>
      <c r="J15" s="16" t="s">
        <v>304</v>
      </c>
      <c r="K15" s="47"/>
      <c r="L15" s="47"/>
      <c r="M15" s="47"/>
      <c r="N15" s="47"/>
      <c r="P15" s="47"/>
      <c r="R15" s="47"/>
    </row>
    <row r="16" spans="1:19" ht="12.75" customHeight="1" thickBot="1">
      <c r="A16" s="63" t="str">
        <f>Data!A154</f>
        <v>Cash Changes</v>
      </c>
      <c r="B16" s="64"/>
      <c r="C16" s="64">
        <f>Data!C154</f>
        <v>0</v>
      </c>
      <c r="D16" s="64">
        <f>Data!D154</f>
        <v>0</v>
      </c>
      <c r="E16" s="64">
        <f>Data!E154</f>
        <v>0</v>
      </c>
      <c r="F16" s="64">
        <f>Data!F154</f>
        <v>0</v>
      </c>
      <c r="G16" s="47"/>
      <c r="H16" s="47"/>
      <c r="I16" s="47"/>
      <c r="J16" s="16" t="s">
        <v>305</v>
      </c>
      <c r="K16" s="47"/>
      <c r="L16" s="47"/>
      <c r="M16" s="47"/>
      <c r="N16" s="47"/>
      <c r="O16" s="47"/>
      <c r="P16" s="47"/>
      <c r="Q16" s="47"/>
      <c r="R16" s="47"/>
      <c r="S16" s="47"/>
    </row>
    <row r="17" spans="1:6" ht="12.75" customHeight="1" thickBot="1">
      <c r="A17" s="66" t="s">
        <v>37</v>
      </c>
      <c r="B17" s="67"/>
      <c r="C17" s="67"/>
      <c r="D17" s="67"/>
      <c r="E17" s="67"/>
      <c r="F17" s="68"/>
    </row>
    <row r="18" spans="1:6" ht="12.75" customHeight="1">
      <c r="A18" s="69"/>
      <c r="B18" s="69"/>
      <c r="C18" s="69"/>
      <c r="D18" s="69"/>
      <c r="E18" s="69"/>
      <c r="F18" s="69"/>
    </row>
    <row r="19" spans="1:13" ht="12.75" customHeight="1" thickBot="1">
      <c r="A19" s="70"/>
      <c r="B19" s="61"/>
      <c r="C19" s="61"/>
      <c r="D19" s="61"/>
      <c r="E19" s="61"/>
      <c r="F19" s="71"/>
      <c r="G19" s="47"/>
      <c r="H19" s="47"/>
      <c r="I19" s="47"/>
      <c r="J19" s="47"/>
      <c r="K19" s="47"/>
      <c r="L19" s="47"/>
      <c r="M19" s="47"/>
    </row>
    <row r="20" spans="1:19" ht="12.75" customHeight="1" thickBot="1">
      <c r="A20" s="72" t="s">
        <v>438</v>
      </c>
      <c r="B20" s="73"/>
      <c r="C20" s="73"/>
      <c r="D20" s="73"/>
      <c r="E20" s="73"/>
      <c r="F20" s="74"/>
      <c r="G20" s="47"/>
      <c r="H20" s="47"/>
      <c r="I20" s="47"/>
      <c r="J20" s="75" t="s">
        <v>501</v>
      </c>
      <c r="K20" s="47"/>
      <c r="L20" s="47"/>
      <c r="M20" s="47"/>
      <c r="N20" s="47"/>
      <c r="O20" s="47"/>
      <c r="P20" s="47"/>
      <c r="Q20" s="47"/>
      <c r="R20" s="47"/>
      <c r="S20" s="47"/>
    </row>
    <row r="21" spans="1:13" ht="12.75" customHeight="1" thickBot="1">
      <c r="A21" s="76" t="s">
        <v>19</v>
      </c>
      <c r="B21" s="77">
        <f>Data!$C$11</f>
        <v>2008</v>
      </c>
      <c r="C21" s="77">
        <f>Data!$D$11</f>
        <v>2009</v>
      </c>
      <c r="D21" s="77">
        <f>Data!$E$11</f>
        <v>2010</v>
      </c>
      <c r="E21" s="77">
        <f>Data!$F$11</f>
        <v>2011</v>
      </c>
      <c r="F21" s="77">
        <f>Data!$G$11</f>
        <v>2012</v>
      </c>
      <c r="G21" s="47"/>
      <c r="H21" s="47"/>
      <c r="I21" s="47"/>
      <c r="J21" s="47"/>
      <c r="K21" s="47"/>
      <c r="L21" s="47"/>
      <c r="M21" s="47"/>
    </row>
    <row r="22" spans="2:13" ht="12.75" customHeight="1">
      <c r="B22" s="61"/>
      <c r="C22" s="61"/>
      <c r="D22" s="61"/>
      <c r="E22" s="61"/>
      <c r="F22" s="78"/>
      <c r="G22" s="47"/>
      <c r="H22" s="47"/>
      <c r="I22" s="47"/>
      <c r="J22" s="47"/>
      <c r="K22" s="47"/>
      <c r="L22" s="47"/>
      <c r="M22" s="47"/>
    </row>
    <row r="23" spans="1:19" ht="12.75" customHeight="1">
      <c r="A23" s="79" t="s">
        <v>170</v>
      </c>
      <c r="B23" s="80"/>
      <c r="C23" s="80"/>
      <c r="D23" s="80"/>
      <c r="E23" s="80"/>
      <c r="F23" s="62"/>
      <c r="J23" s="17" t="s">
        <v>292</v>
      </c>
      <c r="N23" s="47"/>
      <c r="O23" s="47"/>
      <c r="P23" s="47"/>
      <c r="Q23" s="47"/>
      <c r="R23" s="47"/>
      <c r="S23" s="47"/>
    </row>
    <row r="24" spans="1:19" ht="12.75" customHeight="1">
      <c r="A24" s="81" t="s">
        <v>439</v>
      </c>
      <c r="B24" s="82">
        <f>IF(ISERROR((Data!C86+(1-Data!C140)*(-Data!C78))/Data!C65),"",(Data!C86+(1-Data!C140)*(-Data!C78))/Data!C65)</f>
        <v>0.12438671938221083</v>
      </c>
      <c r="C24" s="82">
        <f>IF(ISERROR((Data!D86+(1-Data!D140)*(-Data!D78))/Data!D65),"",(Data!D86+(1-Data!D140)*(-Data!D78))/Data!D65)</f>
        <v>0.1442692912657291</v>
      </c>
      <c r="D24" s="82">
        <f>IF(ISERROR((Data!E86+(1-Data!E140)*(-Data!E78))/Data!E65),"",(Data!E86+(1-Data!E140)*(-Data!E78))/Data!E65)</f>
        <v>0.1197301082333414</v>
      </c>
      <c r="E24" s="82">
        <f>IF(ISERROR((Data!F86+(1-Data!F140)*(-Data!F78))/Data!F65),"",(Data!F86+(1-Data!F140)*(-Data!F78))/Data!F65)</f>
        <v>0.10553350174425598</v>
      </c>
      <c r="F24" s="82">
        <f>IF(ISERROR((Data!G86+(1-Data!G140)*(-Data!G78))/Data!G65),"",(Data!G86+(1-Data!G140)*(-Data!G78))/Data!G65)</f>
        <v>0.10380428143895438</v>
      </c>
      <c r="J24" s="17" t="s">
        <v>306</v>
      </c>
      <c r="N24" s="47"/>
      <c r="O24" s="47"/>
      <c r="P24" s="47"/>
      <c r="Q24" s="47"/>
      <c r="R24" s="47"/>
      <c r="S24" s="47"/>
    </row>
    <row r="25" spans="1:18" ht="12.75" customHeight="1">
      <c r="A25" s="81" t="s">
        <v>440</v>
      </c>
      <c r="B25" s="83">
        <f>IF(ISERROR(Data!C65/((Data!B33+Data!C33)/2)),"",Data!C65/((Data!B33+Data!C33)/2))</f>
        <v>1.2248591090594998</v>
      </c>
      <c r="C25" s="83">
        <f>IF(ISERROR(Data!D65/((Data!C33+Data!D33)/2)),"",Data!D65/((Data!C33+Data!D33)/2))</f>
        <v>1.140054323461934</v>
      </c>
      <c r="D25" s="83">
        <f>IF(ISERROR(Data!E65/((Data!D33+Data!E33)/2)),"",Data!E65/((Data!D33+Data!E33)/2))</f>
        <v>1.0710641568133628</v>
      </c>
      <c r="E25" s="83">
        <f>IF(ISERROR(Data!F65/((Data!E33+Data!F33)/2)),"",Data!F65/((Data!E33+Data!F33)/2))</f>
        <v>0.9430850498103308</v>
      </c>
      <c r="F25" s="83">
        <f>IF(ISERROR(Data!G65/((Data!F33+Data!G33)/2)),"",Data!G65/((Data!F33+Data!G33)/2))</f>
        <v>0.8879067245119305</v>
      </c>
      <c r="G25" s="47"/>
      <c r="H25" s="47"/>
      <c r="I25" s="47"/>
      <c r="J25" s="47" t="s">
        <v>290</v>
      </c>
      <c r="K25" s="47"/>
      <c r="L25" s="47"/>
      <c r="M25" s="47"/>
      <c r="N25" s="47"/>
      <c r="P25" s="47"/>
      <c r="R25" s="47"/>
    </row>
    <row r="26" spans="1:19" ht="12.75" customHeight="1">
      <c r="A26" s="84" t="s">
        <v>441</v>
      </c>
      <c r="B26" s="82">
        <f>IF(ISERROR((Data!C86+(1-Data!C140)*(-Data!C78))/((Data!B33+Data!C33)/2)),"",(Data!C86+(1-Data!C140)*(-Data!C78))/((Data!B33+Data!C33)/2))</f>
        <v>0.1523562062813288</v>
      </c>
      <c r="C26" s="82">
        <f>IF(ISERROR((Data!D86+(1-Data!D140)*(-Data!D78))/((Data!C33+Data!D33)/2)),"",(Data!D86+(1-Data!D140)*(-Data!D78))/((Data!C33+Data!D33)/2))</f>
        <v>0.16447482925028348</v>
      </c>
      <c r="D26" s="82">
        <f>IF(ISERROR((Data!E86+(1-Data!E140)*(-Data!E78))/((Data!D33+Data!E33)/2)),"",(Data!E86+(1-Data!E140)*(-Data!E78))/((Data!D33+Data!E33)/2))</f>
        <v>0.12823862742011646</v>
      </c>
      <c r="E26" s="82">
        <f>IF(ISERROR((Data!F86+(1-Data!F140)*(-Data!F78))/((Data!E33+Data!F33)/2)),"",(Data!F86+(1-Data!F140)*(-Data!F78))/((Data!E33+Data!F33)/2))</f>
        <v>0.09952706774914027</v>
      </c>
      <c r="F26" s="82">
        <f>IF(ISERROR((Data!G86+(1-Data!G140)*(-Data!G78))/((Data!F33+Data!G33)/2)),"",(Data!G86+(1-Data!G140)*(-Data!G78))/((Data!F33+Data!G33)/2))</f>
        <v>0.09216851952277658</v>
      </c>
      <c r="G26" s="47"/>
      <c r="H26" s="47"/>
      <c r="I26" s="47"/>
      <c r="J26" s="47" t="s">
        <v>291</v>
      </c>
      <c r="K26" s="47"/>
      <c r="L26" s="47"/>
      <c r="M26" s="47"/>
      <c r="N26" s="47"/>
      <c r="O26" s="47"/>
      <c r="P26" s="47"/>
      <c r="Q26" s="47"/>
      <c r="R26" s="47"/>
      <c r="S26" s="47"/>
    </row>
    <row r="27" spans="1:13" ht="12.75" customHeight="1">
      <c r="A27" s="85"/>
      <c r="B27" s="86"/>
      <c r="C27" s="86"/>
      <c r="D27" s="86"/>
      <c r="E27" s="86"/>
      <c r="F27" s="87"/>
      <c r="G27" s="47"/>
      <c r="H27" s="47"/>
      <c r="I27" s="47"/>
      <c r="J27" s="47"/>
      <c r="K27" s="47"/>
      <c r="L27" s="47"/>
      <c r="M27" s="47"/>
    </row>
    <row r="28" spans="1:19" s="47" customFormat="1" ht="12.75" customHeight="1">
      <c r="A28" s="75" t="s">
        <v>171</v>
      </c>
      <c r="B28" s="75"/>
      <c r="C28" s="75"/>
      <c r="D28" s="75"/>
      <c r="E28" s="75"/>
      <c r="F28" s="88"/>
      <c r="J28" s="47" t="s">
        <v>293</v>
      </c>
      <c r="N28" s="17"/>
      <c r="O28" s="17"/>
      <c r="P28" s="17"/>
      <c r="Q28" s="17"/>
      <c r="R28" s="17"/>
      <c r="S28" s="17"/>
    </row>
    <row r="29" spans="1:19" s="47" customFormat="1" ht="12.75" customHeight="1">
      <c r="A29" s="89" t="s">
        <v>439</v>
      </c>
      <c r="B29" s="90">
        <f>IF(ISERROR((Data!C86+((1-Data!C140)*-Data!C78)-Data!C142)/Data!C65),"",(Data!C86+((1-Data!C140)*-Data!C78)-Data!C142)/Data!C65)</f>
        <v>0.14161175464151118</v>
      </c>
      <c r="C29" s="90">
        <f>IF(ISERROR((Data!D86+((1-Data!D140)*-Data!D78)-Data!D142)/Data!D65),"",(Data!D86+((1-Data!D140)*-Data!D78)-Data!D142)/Data!D65)</f>
        <v>0.14195618985936345</v>
      </c>
      <c r="D29" s="90">
        <f>IF(ISERROR((Data!E86+((1-Data!E140)*-Data!E78)-Data!E142)/Data!E65),"",(Data!E86+((1-Data!E140)*-Data!E78)-Data!E142)/Data!E65)</f>
        <v>0.12586794149175282</v>
      </c>
      <c r="E29" s="90">
        <f>IF(ISERROR((Data!F86+((1-Data!F140)*-Data!F78)-Data!F142)/Data!F65),"",(Data!F86+((1-Data!F140)*-Data!F78)-Data!F142)/Data!F65)</f>
        <v>0.11443522194153735</v>
      </c>
      <c r="F29" s="90">
        <f>IF(ISERROR((Data!G86+((1-Data!G140)*-Data!G78)-Data!G142)/Data!G65),"",(Data!G86+((1-Data!G140)*-Data!G78)-Data!G142)/Data!G65)</f>
        <v>0.1080185366151591</v>
      </c>
      <c r="G29" s="17"/>
      <c r="H29" s="17"/>
      <c r="I29" s="17"/>
      <c r="J29" s="17" t="s">
        <v>298</v>
      </c>
      <c r="K29" s="17"/>
      <c r="L29" s="17"/>
      <c r="M29" s="17"/>
      <c r="N29" s="17"/>
      <c r="O29" s="17"/>
      <c r="P29" s="17"/>
      <c r="Q29" s="17"/>
      <c r="R29" s="17"/>
      <c r="S29" s="17"/>
    </row>
    <row r="30" spans="1:13" s="47" customFormat="1" ht="12.75" customHeight="1">
      <c r="A30" s="89" t="s">
        <v>440</v>
      </c>
      <c r="B30" s="91">
        <f>IF(ISERROR(Data!C65/((Data!B33+Data!C33)/2)),"",Data!C65/((Data!B33+Data!C33)/2))</f>
        <v>1.2248591090594998</v>
      </c>
      <c r="C30" s="91">
        <f>IF(ISERROR(Data!D65/((Data!C33+Data!D33)/2)),"",Data!D65/((Data!C33+Data!D33)/2))</f>
        <v>1.140054323461934</v>
      </c>
      <c r="D30" s="91">
        <f>IF(ISERROR(Data!E65/((Data!D33+Data!E33)/2)),"",Data!E65/((Data!D33+Data!E33)/2))</f>
        <v>1.0710641568133628</v>
      </c>
      <c r="E30" s="91">
        <f>IF(ISERROR(Data!F65/((Data!E33+Data!F33)/2)),"",Data!F65/((Data!E33+Data!F33)/2))</f>
        <v>0.9430850498103308</v>
      </c>
      <c r="F30" s="91">
        <f>IF(ISERROR(Data!G65/((Data!F33+Data!G33)/2)),"",Data!G65/((Data!F33+Data!G33)/2))</f>
        <v>0.8879067245119305</v>
      </c>
      <c r="G30" s="17"/>
      <c r="H30" s="17"/>
      <c r="I30" s="17"/>
      <c r="J30" s="17"/>
      <c r="K30" s="17"/>
      <c r="L30" s="17"/>
      <c r="M30" s="17"/>
    </row>
    <row r="31" spans="1:19" s="47" customFormat="1" ht="12.75" customHeight="1">
      <c r="A31" s="92" t="s">
        <v>441</v>
      </c>
      <c r="B31" s="90">
        <f>IF(ISERROR((Data!C86+((1-Data!C140)*-Data!C78)-Data!C142)/((Data!B33+Data!C33)/2)),"",(Data!C86+((1-Data!C140)*-Data!C78)-Data!C142)/((Data!B33+Data!C33)/2))</f>
        <v>0.17345444762255388</v>
      </c>
      <c r="C31" s="90">
        <f>IF(ISERROR((Data!D86+((1-Data!D140)*-Data!D78)-Data!D142)/((Data!C33+Data!D33)/2)),"",(Data!D86+((1-Data!D140)*-Data!D78)-Data!D142)/((Data!C33+Data!D33)/2))</f>
        <v>0.16183776799135044</v>
      </c>
      <c r="D31" s="90">
        <f>IF(ISERROR((Data!E86+((1-Data!E140)*-Data!E78)-Data!E142)/((Data!D33+Data!E33)/2)),"",(Data!E86+((1-Data!E140)*-Data!E78)-Data!E142)/((Data!D33+Data!E33)/2))</f>
        <v>0.13481264062369794</v>
      </c>
      <c r="E31" s="90">
        <f>IF(ISERROR((Data!F86+((1-Data!F140)*-Data!F78)-Data!F142)/((Data!E33+Data!F33)/2)),"",(Data!F86+((1-Data!F140)*-Data!F78)-Data!F142)/((Data!E33+Data!F33)/2))</f>
        <v>0.10792214698479101</v>
      </c>
      <c r="F31" s="90">
        <f>IF(ISERROR((Data!G86+((1-Data!G140)*-Data!G78)-Data!G142)/((Data!F33+Data!G33)/2)),"",(Data!G86+((1-Data!G140)*-Data!G78)-Data!G142)/((Data!F33+Data!G33)/2))</f>
        <v>0.09591038503253796</v>
      </c>
      <c r="N31" s="17"/>
      <c r="O31" s="17"/>
      <c r="P31" s="17"/>
      <c r="Q31" s="17"/>
      <c r="R31" s="17"/>
      <c r="S31" s="17"/>
    </row>
    <row r="32" spans="1:19" s="47" customFormat="1" ht="12.75" customHeight="1">
      <c r="A32" s="93"/>
      <c r="B32" s="75"/>
      <c r="C32" s="75"/>
      <c r="D32" s="75"/>
      <c r="E32" s="75"/>
      <c r="F32" s="94"/>
      <c r="N32" s="17"/>
      <c r="O32" s="17"/>
      <c r="P32" s="17"/>
      <c r="Q32" s="17"/>
      <c r="R32" s="17"/>
      <c r="S32" s="17"/>
    </row>
    <row r="33" spans="1:19" ht="12.75" customHeight="1">
      <c r="A33" s="79" t="s">
        <v>172</v>
      </c>
      <c r="B33" s="79"/>
      <c r="C33" s="79"/>
      <c r="D33" s="79"/>
      <c r="E33" s="79"/>
      <c r="F33" s="95"/>
      <c r="G33" s="47"/>
      <c r="H33" s="47"/>
      <c r="I33" s="47"/>
      <c r="J33" s="17" t="s">
        <v>296</v>
      </c>
      <c r="K33" s="47"/>
      <c r="L33" s="47"/>
      <c r="M33" s="47"/>
      <c r="N33" s="47"/>
      <c r="O33" s="47"/>
      <c r="P33" s="47"/>
      <c r="Q33" s="47"/>
      <c r="R33" s="47"/>
      <c r="S33" s="47"/>
    </row>
    <row r="34" spans="1:19" ht="12.75" customHeight="1">
      <c r="A34" s="81" t="s">
        <v>442</v>
      </c>
      <c r="B34" s="82">
        <f>IF(ISERROR((Data!C88-Data!C144)/Data!C65),"",(Data!C88-Data!C144)/Data!C65)</f>
        <v>0.11885381282791149</v>
      </c>
      <c r="C34" s="82">
        <f>IF(ISERROR((Data!D88-Data!D144)/Data!D65),"",(Data!D88-Data!D144)/Data!D65)</f>
        <v>0.13749074759437455</v>
      </c>
      <c r="D34" s="82">
        <f>IF(ISERROR((Data!E88-Data!E144)/Data!E65),"",(Data!E88-Data!E144)/Data!E65)</f>
        <v>0.10925343199972337</v>
      </c>
      <c r="E34" s="82">
        <f>IF(ISERROR((Data!F88-Data!F144)/Data!F65),"",(Data!F88-Data!F144)/Data!F65)</f>
        <v>0.0968663539035246</v>
      </c>
      <c r="F34" s="82">
        <f>IF(ISERROR((Data!G88-Data!G144)/Data!G65),"",(Data!G88-Data!G144)/Data!G65)</f>
        <v>0.09431686312832102</v>
      </c>
      <c r="G34" s="47"/>
      <c r="H34" s="47"/>
      <c r="I34" s="47"/>
      <c r="J34" s="17" t="s">
        <v>307</v>
      </c>
      <c r="K34" s="47"/>
      <c r="L34" s="47"/>
      <c r="M34" s="47"/>
      <c r="N34" s="47"/>
      <c r="O34" s="47"/>
      <c r="P34" s="47"/>
      <c r="Q34" s="47"/>
      <c r="R34" s="47"/>
      <c r="S34" s="47"/>
    </row>
    <row r="35" spans="1:18" ht="12.75" customHeight="1">
      <c r="A35" s="81" t="s">
        <v>440</v>
      </c>
      <c r="B35" s="83">
        <f>IF(ISERROR(Data!C65/((Data!B33+Data!C33)/2)),"",Data!C65/((Data!B33+Data!C33)/2))</f>
        <v>1.2248591090594998</v>
      </c>
      <c r="C35" s="83">
        <f>IF(ISERROR(Data!D65/((Data!C33+Data!D33)/2)),"",Data!D65/((Data!C33+Data!D33)/2))</f>
        <v>1.140054323461934</v>
      </c>
      <c r="D35" s="83">
        <f>IF(ISERROR(Data!E65/((Data!D33+Data!E33)/2)),"",Data!E65/((Data!D33+Data!E33)/2))</f>
        <v>1.0710641568133628</v>
      </c>
      <c r="E35" s="83">
        <f>IF(ISERROR(Data!F65/((Data!E33+Data!F33)/2)),"",Data!F65/((Data!E33+Data!F33)/2))</f>
        <v>0.9430850498103308</v>
      </c>
      <c r="F35" s="83">
        <f>IF(ISERROR(Data!G65/((Data!F33+Data!G33)/2)),"",Data!G65/((Data!F33+Data!G33)/2))</f>
        <v>0.8879067245119305</v>
      </c>
      <c r="J35" s="47" t="s">
        <v>290</v>
      </c>
      <c r="N35" s="47"/>
      <c r="P35" s="47"/>
      <c r="R35" s="47"/>
    </row>
    <row r="36" spans="1:19" ht="12.75" customHeight="1">
      <c r="A36" s="81" t="s">
        <v>443</v>
      </c>
      <c r="B36" s="83">
        <f>IF(ISERROR(((Data!B33+Data!C33)/2)/((Data!B57+Data!C57)/2)),"",((Data!B33+Data!C33)/2)/((Data!B57+Data!C57)/2))</f>
        <v>2.3916960173394743</v>
      </c>
      <c r="C36" s="83">
        <f>IF(ISERROR(((Data!C33+Data!D33)/2)/((Data!C57+Data!D57)/2)),"",((Data!C33+Data!D33)/2)/((Data!C57+Data!D57)/2))</f>
        <v>2.605269485761396</v>
      </c>
      <c r="D36" s="83">
        <f>IF(ISERROR(((Data!D33+Data!E33)/2)/((Data!D57+Data!E57)/2)),"",((Data!D33+Data!E33)/2)/((Data!D57+Data!E57)/2))</f>
        <v>2.8286582331526153</v>
      </c>
      <c r="E36" s="83">
        <f>IF(ISERROR(((Data!E33+Data!F33)/2)/((Data!E57+Data!F57)/2)),"",((Data!E33+Data!F33)/2)/((Data!E57+Data!F57)/2))</f>
        <v>3.359816089763442</v>
      </c>
      <c r="F36" s="83">
        <f>IF(ISERROR(((Data!F33+Data!G33)/2)/((Data!F57+Data!G57)/2)),"",((Data!F33+Data!G33)/2)/((Data!F57+Data!G57)/2))</f>
        <v>3.4210709399132675</v>
      </c>
      <c r="J36" s="17" t="s">
        <v>294</v>
      </c>
      <c r="N36" s="47"/>
      <c r="O36" s="47"/>
      <c r="P36" s="47"/>
      <c r="Q36" s="47"/>
      <c r="R36" s="47"/>
      <c r="S36" s="47"/>
    </row>
    <row r="37" spans="1:13" ht="12.75" customHeight="1">
      <c r="A37" s="84" t="s">
        <v>444</v>
      </c>
      <c r="B37" s="82">
        <f>IF(ISERROR((Data!C88-Data!C144)/((Data!B57+Data!C57)/2)),"",(Data!C88-Data!C144)/((Data!B57+Data!C57)/2))</f>
        <v>0.3481811337455974</v>
      </c>
      <c r="C37" s="82">
        <f>IF(ISERROR((Data!D88-Data!D144)/((Data!C57+Data!D57)/2)),"",(Data!D88-Data!D144)/((Data!C57+Data!D57)/2))</f>
        <v>0.40836797087011784</v>
      </c>
      <c r="D37" s="82">
        <f>IF(ISERROR((Data!E88-Data!E144)/((Data!D57+Data!E57)/2)),"",(Data!E88-Data!E144)/((Data!D57+Data!E57)/2))</f>
        <v>0.331002331002331</v>
      </c>
      <c r="E37" s="82">
        <f>IF(ISERROR((Data!F88-Data!F144)/((Data!E57+Data!F57)/2)),"",(Data!F88-Data!F144)/((Data!E57+Data!F57)/2))</f>
        <v>0.3069299854682326</v>
      </c>
      <c r="F37" s="82">
        <f>IF(ISERROR((Data!G88-Data!G144)/((Data!F57+Data!G57)/2)),"",(Data!G88-Data!G144)/((Data!F57+Data!G57)/2))</f>
        <v>0.2864961387722919</v>
      </c>
      <c r="G37" s="47"/>
      <c r="H37" s="47"/>
      <c r="I37" s="47"/>
      <c r="J37" s="47" t="s">
        <v>295</v>
      </c>
      <c r="K37" s="47"/>
      <c r="L37" s="47"/>
      <c r="M37" s="47"/>
    </row>
    <row r="38" spans="1:13" ht="12.75" customHeight="1">
      <c r="A38" s="85"/>
      <c r="B38" s="86"/>
      <c r="C38" s="86"/>
      <c r="D38" s="86"/>
      <c r="E38" s="86"/>
      <c r="F38" s="87"/>
      <c r="G38" s="47"/>
      <c r="H38" s="47"/>
      <c r="I38" s="47"/>
      <c r="J38" s="47"/>
      <c r="K38" s="47"/>
      <c r="L38" s="47"/>
      <c r="M38" s="47"/>
    </row>
    <row r="39" spans="1:13" ht="12.75" customHeight="1">
      <c r="A39" s="79" t="s">
        <v>230</v>
      </c>
      <c r="B39" s="79"/>
      <c r="C39" s="79"/>
      <c r="D39" s="79"/>
      <c r="E39" s="79"/>
      <c r="F39" s="95"/>
      <c r="G39" s="47"/>
      <c r="H39" s="47"/>
      <c r="I39" s="47"/>
      <c r="J39" s="47" t="s">
        <v>297</v>
      </c>
      <c r="K39" s="47"/>
      <c r="L39" s="47"/>
      <c r="M39" s="47"/>
    </row>
    <row r="40" spans="1:19" ht="12.75" customHeight="1">
      <c r="A40" s="81" t="s">
        <v>442</v>
      </c>
      <c r="B40" s="90">
        <f>IF(ISERROR((Data!C88-Data!C144-Data!C142)/Data!C65),"",(Data!C88-Data!C144-Data!C142)/Data!C65)</f>
        <v>0.13607884808721185</v>
      </c>
      <c r="C40" s="90">
        <f>IF(ISERROR((Data!D88-Data!D144-Data!D142)/Data!D65),"",(Data!D88-Data!D144-Data!D142)/Data!D65)</f>
        <v>0.13517764618800887</v>
      </c>
      <c r="D40" s="90">
        <f>IF(ISERROR((Data!E88-Data!E144-Data!E142)/Data!E65),"",(Data!E88-Data!E144-Data!E142)/Data!E65)</f>
        <v>0.11539126525813478</v>
      </c>
      <c r="E40" s="90">
        <f>IF(ISERROR((Data!F88-Data!F144-Data!F142)/Data!F65),"",(Data!F88-Data!F144-Data!F142)/Data!F65)</f>
        <v>0.10576807410080596</v>
      </c>
      <c r="F40" s="90">
        <f>IF(ISERROR((Data!G88-Data!G144-Data!G142)/Data!G65),"",(Data!G88-Data!G144-Data!G142)/Data!G65)</f>
        <v>0.09853111830452574</v>
      </c>
      <c r="G40" s="47"/>
      <c r="H40" s="47"/>
      <c r="I40" s="47"/>
      <c r="J40" s="17" t="s">
        <v>299</v>
      </c>
      <c r="K40" s="47"/>
      <c r="L40" s="47"/>
      <c r="M40" s="47"/>
      <c r="N40" s="47"/>
      <c r="O40" s="47"/>
      <c r="P40" s="47"/>
      <c r="Q40" s="47"/>
      <c r="R40" s="47"/>
      <c r="S40" s="47"/>
    </row>
    <row r="41" spans="1:6" ht="12.75" customHeight="1">
      <c r="A41" s="81" t="s">
        <v>440</v>
      </c>
      <c r="B41" s="91">
        <f>IF(ISERROR(Data!C65/((Data!B33+Data!C33)/2)),"",Data!C65/((Data!B33+Data!C33)/2))</f>
        <v>1.2248591090594998</v>
      </c>
      <c r="C41" s="91">
        <f>IF(ISERROR(Data!D65/((Data!C33+Data!D33)/2)),"",Data!D65/((Data!C33+Data!D33)/2))</f>
        <v>1.140054323461934</v>
      </c>
      <c r="D41" s="91">
        <f>IF(ISERROR(Data!E65/((Data!D33+Data!E33)/2)),"",Data!E65/((Data!D33+Data!E33)/2))</f>
        <v>1.0710641568133628</v>
      </c>
      <c r="E41" s="91">
        <f>IF(ISERROR(Data!F65/((Data!E33+Data!F33)/2)),"",Data!F65/((Data!E33+Data!F33)/2))</f>
        <v>0.9430850498103308</v>
      </c>
      <c r="F41" s="91">
        <f>IF(ISERROR(Data!G65/((Data!F33+Data!G33)/2)),"",Data!G65/((Data!F33+Data!G33)/2))</f>
        <v>0.8879067245119305</v>
      </c>
    </row>
    <row r="42" spans="1:6" ht="12.75" customHeight="1">
      <c r="A42" s="81" t="s">
        <v>443</v>
      </c>
      <c r="B42" s="91">
        <f>IF(ISERROR(((Data!B33+Data!C33)/2)/((Data!B57+Data!C57)/2)),"",((Data!B33+Data!C33)/2)/((Data!B57+Data!C57)/2))</f>
        <v>2.3916960173394743</v>
      </c>
      <c r="C42" s="91">
        <f>IF(ISERROR(((Data!C33+Data!D33)/2)/((Data!C57+Data!D57)/2)),"",((Data!C33+Data!D33)/2)/((Data!C57+Data!D57)/2))</f>
        <v>2.605269485761396</v>
      </c>
      <c r="D42" s="91">
        <f>IF(ISERROR(((Data!D33+Data!E33)/2)/((Data!D57+Data!E57)/2)),"",((Data!D33+Data!E33)/2)/((Data!D57+Data!E57)/2))</f>
        <v>2.8286582331526153</v>
      </c>
      <c r="E42" s="91">
        <f>IF(ISERROR(((Data!E33+Data!F33)/2)/((Data!E57+Data!F57)/2)),"",((Data!E33+Data!F33)/2)/((Data!E57+Data!F57)/2))</f>
        <v>3.359816089763442</v>
      </c>
      <c r="F42" s="91">
        <f>IF(ISERROR(((Data!F33+Data!G33)/2)/((Data!F57+Data!G57)/2)),"",((Data!F33+Data!G33)/2)/((Data!F57+Data!G57)/2))</f>
        <v>3.4210709399132675</v>
      </c>
    </row>
    <row r="43" spans="1:19" ht="12.75" customHeight="1">
      <c r="A43" s="84" t="s">
        <v>444</v>
      </c>
      <c r="B43" s="90">
        <f>IF(ISERROR((Data!C88-Data!C144-Data!C142)/((Data!B57+Data!C57)/2)),"",(Data!C88-Data!C144-Data!C142)/((Data!B57+Data!C57)/2))</f>
        <v>0.3986417135342726</v>
      </c>
      <c r="C43" s="90">
        <f>IF(ISERROR((Data!D88-Data!D144-Data!D142)/((Data!C57+Data!D57)/2)),"",(Data!D88-Data!D144-Data!D142)/((Data!C57+Data!D57)/2))</f>
        <v>0.40149771564013603</v>
      </c>
      <c r="D43" s="90">
        <f>IF(ISERROR((Data!E88-Data!E144-Data!E142)/((Data!D57+Data!E57)/2)),"",(Data!E88-Data!E144-Data!E142)/((Data!D57+Data!E57)/2))</f>
        <v>0.34959796757549566</v>
      </c>
      <c r="E43" s="90">
        <f>IF(ISERROR((Data!F88-Data!F144-Data!F142)/((Data!E57+Data!F57)/2)),"",(Data!F88-Data!F144-Data!F142)/((Data!E57+Data!F57)/2))</f>
        <v>0.33513590775901086</v>
      </c>
      <c r="F43" s="90">
        <f>IF(ISERROR((Data!G88-Data!G144-Data!G142)/((Data!F57+Data!G57)/2)),"",(Data!G88-Data!G144-Data!G142)/((Data!F57+Data!G57)/2))</f>
        <v>0.29929732612880033</v>
      </c>
      <c r="G43" s="47"/>
      <c r="H43" s="47"/>
      <c r="I43" s="47"/>
      <c r="J43" s="47"/>
      <c r="K43" s="47"/>
      <c r="L43" s="47"/>
      <c r="M43" s="47"/>
      <c r="N43" s="47"/>
      <c r="O43" s="47"/>
      <c r="P43" s="47"/>
      <c r="Q43" s="47"/>
      <c r="R43" s="47"/>
      <c r="S43" s="47"/>
    </row>
    <row r="44" spans="1:19" ht="12.75" customHeight="1">
      <c r="A44" s="96"/>
      <c r="B44" s="79"/>
      <c r="C44" s="79"/>
      <c r="D44" s="79"/>
      <c r="E44" s="79"/>
      <c r="F44" s="95"/>
      <c r="G44" s="47"/>
      <c r="H44" s="47"/>
      <c r="I44" s="47"/>
      <c r="J44" s="47"/>
      <c r="K44" s="47"/>
      <c r="L44" s="47"/>
      <c r="M44" s="47"/>
      <c r="N44" s="47"/>
      <c r="O44" s="47"/>
      <c r="P44" s="47"/>
      <c r="Q44" s="47"/>
      <c r="R44" s="47"/>
      <c r="S44" s="47"/>
    </row>
    <row r="45" spans="1:18" ht="12.75" customHeight="1">
      <c r="A45" s="79" t="s">
        <v>445</v>
      </c>
      <c r="B45" s="79"/>
      <c r="C45" s="79"/>
      <c r="D45" s="79"/>
      <c r="E45" s="79"/>
      <c r="F45" s="95"/>
      <c r="G45" s="47"/>
      <c r="H45" s="47"/>
      <c r="I45" s="47"/>
      <c r="J45" s="47"/>
      <c r="K45" s="47"/>
      <c r="L45" s="47"/>
      <c r="M45" s="47"/>
      <c r="N45" s="47"/>
      <c r="P45" s="47"/>
      <c r="R45" s="47"/>
    </row>
    <row r="46" spans="1:19" ht="12.75" customHeight="1">
      <c r="A46" s="81" t="s">
        <v>30</v>
      </c>
      <c r="B46" s="82">
        <f>IF(ISERROR(Data!C67/Data!C65),"",Data!C67/Data!C65)</f>
        <v>0.529467526762387</v>
      </c>
      <c r="C46" s="82">
        <f>IF(ISERROR(Data!D67/Data!D65),"",Data!D67/Data!D65)</f>
        <v>0.535089748334567</v>
      </c>
      <c r="D46" s="82">
        <f>IF(ISERROR(Data!E67/Data!E65),"",Data!E67/Data!E65)</f>
        <v>0.5405269891766659</v>
      </c>
      <c r="E46" s="82">
        <f>IF(ISERROR(Data!F67/Data!F65),"",Data!F67/Data!F65)</f>
        <v>0.5249458679177192</v>
      </c>
      <c r="F46" s="82">
        <f>IF(ISERROR(Data!G67/Data!G65),"",Data!G67/Data!G65)</f>
        <v>0.5222164539180358</v>
      </c>
      <c r="G46" s="47"/>
      <c r="H46" s="47"/>
      <c r="I46" s="47"/>
      <c r="J46" s="47" t="s">
        <v>374</v>
      </c>
      <c r="K46" s="47"/>
      <c r="L46" s="47"/>
      <c r="M46" s="47"/>
      <c r="N46" s="47"/>
      <c r="O46" s="47"/>
      <c r="P46" s="47"/>
      <c r="Q46" s="47"/>
      <c r="R46" s="47"/>
      <c r="S46" s="47"/>
    </row>
    <row r="47" spans="1:10" ht="12.75" customHeight="1">
      <c r="A47" s="81" t="s">
        <v>97</v>
      </c>
      <c r="B47" s="82">
        <f>IF(ISERROR(Data!C76/Data!C65),"",Data!C76/Data!C65)</f>
        <v>0.16089801391875333</v>
      </c>
      <c r="C47" s="82">
        <f>IF(ISERROR(Data!D76/Data!D65),"",Data!D76/Data!D65)</f>
        <v>0.18606587712805328</v>
      </c>
      <c r="D47" s="82">
        <f>IF(ISERROR(Data!E76/Data!E65),"",Data!E76/Data!E65)</f>
        <v>0.1440575400255887</v>
      </c>
      <c r="E47" s="82">
        <f>IF(ISERROR(Data!F76/Data!F65),"",Data!F76/Data!F65)</f>
        <v>0.14484843016961385</v>
      </c>
      <c r="F47" s="82">
        <f>IF(ISERROR(Data!G76/Data!G65),"",Data!G76/Data!G65)</f>
        <v>0.13913149697673</v>
      </c>
      <c r="J47" s="17" t="s">
        <v>375</v>
      </c>
    </row>
    <row r="48" spans="1:10" ht="12.75" customHeight="1">
      <c r="A48" s="89" t="s">
        <v>93</v>
      </c>
      <c r="B48" s="90">
        <f>IF(ISERROR(Data!C88/Data!C65),"",Data!C88/Data!C65)</f>
        <v>0.11888742456821808</v>
      </c>
      <c r="C48" s="90">
        <f>IF(ISERROR(Data!D88/Data!D65),"",Data!D88/Data!D65)</f>
        <v>0.13753700962250184</v>
      </c>
      <c r="D48" s="90">
        <f>IF(ISERROR(Data!E88/Data!E65),"",Data!E88/Data!E65)</f>
        <v>0.10927072167087382</v>
      </c>
      <c r="E48" s="90">
        <f>IF(ISERROR(Data!F88/Data!F65),"",Data!F88/Data!F65)</f>
        <v>0.09688139059304704</v>
      </c>
      <c r="F48" s="90">
        <f>IF(ISERROR(Data!G88/Data!G65),"",Data!G88/Data!G65)</f>
        <v>0.09433213216881452</v>
      </c>
      <c r="J48" s="17" t="s">
        <v>376</v>
      </c>
    </row>
    <row r="49" spans="1:13" ht="12.75" customHeight="1">
      <c r="A49" s="81" t="s">
        <v>447</v>
      </c>
      <c r="B49" s="82">
        <f>IF(ISERROR(Data!C92/Data!C65),"",Data!C92/Data!C65)</f>
        <v>0.031190030288317034</v>
      </c>
      <c r="C49" s="82">
        <f>IF(ISERROR(Data!D92/Data!D65),"",Data!D92/Data!D65)</f>
        <v>0.15835492227979275</v>
      </c>
      <c r="D49" s="82">
        <f>IF(ISERROR(Data!E92/Data!E65),"",Data!E92/Data!E65)</f>
        <v>0.1121062277395484</v>
      </c>
      <c r="E49" s="82">
        <f>IF(ISERROR(Data!F92/Data!F65),"",Data!F92/Data!F65)</f>
        <v>0.057801034524239146</v>
      </c>
      <c r="F49" s="82">
        <f>IF(ISERROR(Data!G92/Data!G65),"",Data!G92/Data!G65)</f>
        <v>0.10566176021498809</v>
      </c>
      <c r="G49" s="47"/>
      <c r="H49" s="47"/>
      <c r="I49" s="47"/>
      <c r="J49" s="47" t="s">
        <v>377</v>
      </c>
      <c r="K49" s="47"/>
      <c r="L49" s="47"/>
      <c r="M49" s="47"/>
    </row>
    <row r="50" spans="11:19" ht="12.75" customHeight="1">
      <c r="K50" s="47"/>
      <c r="L50" s="47"/>
      <c r="M50" s="47"/>
      <c r="N50" s="47"/>
      <c r="O50" s="47"/>
      <c r="P50" s="47"/>
      <c r="Q50" s="47"/>
      <c r="R50" s="47"/>
      <c r="S50" s="47"/>
    </row>
    <row r="51" spans="1:19" ht="12.75" customHeight="1">
      <c r="A51" s="97" t="s">
        <v>96</v>
      </c>
      <c r="B51" s="86"/>
      <c r="C51" s="86"/>
      <c r="D51" s="86"/>
      <c r="E51" s="86"/>
      <c r="F51" s="86"/>
      <c r="N51" s="47"/>
      <c r="O51" s="47"/>
      <c r="P51" s="47"/>
      <c r="Q51" s="47"/>
      <c r="R51" s="47"/>
      <c r="S51" s="47"/>
    </row>
    <row r="52" spans="1:18" ht="12.75" customHeight="1">
      <c r="A52" s="81" t="s">
        <v>98</v>
      </c>
      <c r="B52" s="82">
        <f>IF(ISERROR((Data!C76-Data!C75)/Data!C65),"",(Data!C76-Data!C75)/Data!C65)</f>
        <v>0.16089801391875333</v>
      </c>
      <c r="C52" s="82">
        <f>IF(ISERROR((Data!D76-Data!D75)/Data!D65),"",(Data!D76-Data!D75)/Data!D65)</f>
        <v>0.18606587712805328</v>
      </c>
      <c r="D52" s="82">
        <f>IF(ISERROR((Data!E76-Data!E75)/Data!E65),"",(Data!E76-Data!E75)/Data!E65)</f>
        <v>0.1440575400255887</v>
      </c>
      <c r="E52" s="82">
        <f>IF(ISERROR((Data!F76-Data!F75)/Data!F65),"",(Data!F76-Data!F75)/Data!F65)</f>
        <v>0.14484843016961385</v>
      </c>
      <c r="F52" s="82">
        <f>IF(ISERROR((Data!G76-Data!G75)/Data!G65),"",(Data!G76-Data!G75)/Data!G65)</f>
        <v>0.13913149697673</v>
      </c>
      <c r="G52" s="47"/>
      <c r="H52" s="47"/>
      <c r="I52" s="47"/>
      <c r="J52" s="17" t="s">
        <v>380</v>
      </c>
      <c r="K52" s="47"/>
      <c r="L52" s="47"/>
      <c r="M52" s="47"/>
      <c r="N52" s="47"/>
      <c r="P52" s="47"/>
      <c r="R52" s="47"/>
    </row>
    <row r="53" spans="1:19" ht="12.75" customHeight="1">
      <c r="A53" s="89" t="s">
        <v>99</v>
      </c>
      <c r="B53" s="90">
        <f>IF(ISERROR((Data!C88-Data!C142)/Data!C65),"",(Data!C88-Data!C142)/Data!C65)</f>
        <v>0.13611245982751843</v>
      </c>
      <c r="C53" s="90">
        <f>IF(ISERROR((Data!D88-Data!D142)/Data!D65),"",(Data!D88-Data!D142)/Data!D65)</f>
        <v>0.1352239082161362</v>
      </c>
      <c r="D53" s="90">
        <f>IF(ISERROR((Data!E88-Data!E142)/Data!E65),"",(Data!E88-Data!E142)/Data!E65)</f>
        <v>0.11540855492928524</v>
      </c>
      <c r="E53" s="90">
        <f>IF(ISERROR((Data!F88-Data!F142)/Data!F65),"",(Data!F88-Data!F142)/Data!F65)</f>
        <v>0.1057831107903284</v>
      </c>
      <c r="F53" s="90">
        <f>IF(ISERROR((Data!G88-Data!G142)/Data!G65),"",(Data!G88-Data!G142)/Data!G65)</f>
        <v>0.09854638734501923</v>
      </c>
      <c r="G53" s="47"/>
      <c r="H53" s="47"/>
      <c r="I53" s="47"/>
      <c r="J53" s="17" t="s">
        <v>381</v>
      </c>
      <c r="K53" s="47"/>
      <c r="L53" s="47"/>
      <c r="M53" s="47"/>
      <c r="N53" s="47"/>
      <c r="O53" s="47"/>
      <c r="P53" s="47"/>
      <c r="Q53" s="47"/>
      <c r="R53" s="47"/>
      <c r="S53" s="47"/>
    </row>
    <row r="54" spans="1:13" ht="12.75" customHeight="1">
      <c r="A54" s="49"/>
      <c r="B54" s="98"/>
      <c r="C54" s="98"/>
      <c r="D54" s="98"/>
      <c r="E54" s="98"/>
      <c r="F54" s="98"/>
      <c r="G54" s="47"/>
      <c r="H54" s="47"/>
      <c r="I54" s="47"/>
      <c r="J54" s="47"/>
      <c r="K54" s="47"/>
      <c r="L54" s="47"/>
      <c r="M54" s="47"/>
    </row>
    <row r="55" spans="1:13" ht="12.75" customHeight="1">
      <c r="A55" s="99" t="s">
        <v>101</v>
      </c>
      <c r="B55" s="98"/>
      <c r="C55" s="98"/>
      <c r="D55" s="98"/>
      <c r="E55" s="98"/>
      <c r="F55" s="98"/>
      <c r="G55" s="47"/>
      <c r="H55" s="47"/>
      <c r="I55" s="47"/>
      <c r="J55" s="47"/>
      <c r="K55" s="47"/>
      <c r="L55" s="47"/>
      <c r="M55" s="47"/>
    </row>
    <row r="56" spans="1:10" ht="12.75" customHeight="1">
      <c r="A56" s="81" t="s">
        <v>94</v>
      </c>
      <c r="B56" s="82">
        <f>IF(ISERROR(Data!C65/Data!B65-1),"",Data!C65/Data!B65-1)</f>
        <v>0.09568323453412364</v>
      </c>
      <c r="C56" s="82">
        <f>IF(ISERROR(Data!D65/Data!C65-1),"",Data!D65/Data!C65-1)</f>
        <v>-0.00043929620124394386</v>
      </c>
      <c r="D56" s="82">
        <f>IF(ISERROR(Data!E65/Data!D65-1),"",Data!E65/Data!D65-1)</f>
        <v>0.33785159141376764</v>
      </c>
      <c r="E56" s="82">
        <f>IF(ISERROR(Data!F65/Data!E65-1),"",Data!F65/Data!E65-1)</f>
        <v>0.14983229018984057</v>
      </c>
      <c r="F56" s="82">
        <f>IF(ISERROR(Data!G65/Data!F65-1),"",Data!G65/Data!F65-1)</f>
        <v>-0.015217129796703976</v>
      </c>
      <c r="J56" s="17" t="s">
        <v>308</v>
      </c>
    </row>
    <row r="57" spans="1:19" ht="12.75" customHeight="1">
      <c r="A57" s="81" t="s">
        <v>95</v>
      </c>
      <c r="B57" s="82">
        <f>IF(ISERROR(Data!C88/Data!B88-1),"",Data!C88/Data!B88-1)</f>
        <v>-0.09119830328738066</v>
      </c>
      <c r="C57" s="82">
        <f>IF(ISERROR(Data!D88/Data!C88-1),"",Data!D88/Data!C88-1)</f>
        <v>0.15635939323220538</v>
      </c>
      <c r="D57" s="82">
        <f>IF(ISERROR(Data!E88/Data!D88-1),"",Data!E88/Data!D88-1)</f>
        <v>0.06289942818701655</v>
      </c>
      <c r="E57" s="82">
        <f>IF(ISERROR(Data!F88/Data!E88-1),"",Data!F88/Data!E88-1)</f>
        <v>0.01946202531645569</v>
      </c>
      <c r="F57" s="82">
        <f>IF(ISERROR(Data!G88/Data!F88-1),"",Data!G88/Data!F88-1)</f>
        <v>-0.041129908427750994</v>
      </c>
      <c r="J57" s="17" t="s">
        <v>309</v>
      </c>
      <c r="N57" s="47"/>
      <c r="O57" s="47"/>
      <c r="P57" s="47"/>
      <c r="Q57" s="47"/>
      <c r="R57" s="47"/>
      <c r="S57" s="47"/>
    </row>
    <row r="58" spans="1:13" ht="12.75" customHeight="1">
      <c r="A58" s="81" t="s">
        <v>100</v>
      </c>
      <c r="B58" s="90">
        <f>IF(ISERROR(((Data!C88-Data!C142)/(Data!B88-Data!B142))-1),"",((Data!C88-Data!C142)/(Data!B88-Data!B142))-1)</f>
        <v>0.053696080186146355</v>
      </c>
      <c r="C58" s="90">
        <f>IF(ISERROR(((Data!D88-Data!D142)/(Data!C88-Data!C142))-1),"",((Data!D88-Data!D142)/(Data!C88-Data!C142))-1)</f>
        <v>-0.006964498046543199</v>
      </c>
      <c r="D58" s="90">
        <f>IF(ISERROR(((Data!E88-Data!E142)/(Data!D88-Data!D142))-1),"",((Data!E88-Data!E142)/(Data!D88-Data!D142))-1)</f>
        <v>0.14180636332535057</v>
      </c>
      <c r="E58" s="90">
        <f>IF(ISERROR(((Data!F88-Data!F142)/(Data!E88-Data!E142))-1),"",((Data!F88-Data!F142)/(Data!E88-Data!E142))-1)</f>
        <v>0.053932584269662964</v>
      </c>
      <c r="F58" s="90">
        <f>IF(ISERROR(((Data!G88-Data!G142)/(Data!F88-Data!F142))-1),"",((Data!G88-Data!G142)/(Data!F88-Data!F142))-1)</f>
        <v>-0.08258706467661692</v>
      </c>
      <c r="G58" s="47"/>
      <c r="H58" s="47"/>
      <c r="I58" s="47"/>
      <c r="J58" s="47" t="s">
        <v>310</v>
      </c>
      <c r="K58" s="47"/>
      <c r="L58" s="47"/>
      <c r="M58" s="47"/>
    </row>
    <row r="59" spans="1:13" ht="12.75" customHeight="1">
      <c r="A59" s="51"/>
      <c r="B59" s="100"/>
      <c r="C59" s="100"/>
      <c r="D59" s="100"/>
      <c r="E59" s="100"/>
      <c r="F59" s="100"/>
      <c r="G59" s="47"/>
      <c r="H59" s="47"/>
      <c r="I59" s="47"/>
      <c r="J59" s="47"/>
      <c r="K59" s="47"/>
      <c r="L59" s="47"/>
      <c r="M59" s="47"/>
    </row>
    <row r="60" spans="1:13" ht="12.75" customHeight="1">
      <c r="A60" s="79" t="s">
        <v>311</v>
      </c>
      <c r="B60" s="79"/>
      <c r="C60" s="79"/>
      <c r="D60" s="79"/>
      <c r="E60" s="79"/>
      <c r="F60" s="95"/>
      <c r="G60" s="47"/>
      <c r="H60" s="47"/>
      <c r="I60" s="47"/>
      <c r="J60" s="47"/>
      <c r="K60" s="47"/>
      <c r="L60" s="47"/>
      <c r="M60" s="47"/>
    </row>
    <row r="61" spans="1:13" ht="12.75" customHeight="1">
      <c r="A61" s="81" t="s">
        <v>159</v>
      </c>
      <c r="B61" s="82">
        <f>IF(ISERROR((Data!C67/Data!B67)/(Data!C65/Data!B65)),"",(Data!C67/Data!B67)/(Data!C65/Data!B65))</f>
        <v>0.9750047187636902</v>
      </c>
      <c r="C61" s="82">
        <f>IF(ISERROR((Data!D67/Data!C67)/(Data!D65/Data!C65)),"",(Data!D67/Data!C67)/(Data!D65/Data!C65))</f>
        <v>1.0106186334156488</v>
      </c>
      <c r="D61" s="82">
        <f>IF(ISERROR((Data!E67/Data!D67)/(Data!E65/Data!D65)),"",(Data!E67/Data!D67)/(Data!E65/Data!D65))</f>
        <v>1.0101613623864445</v>
      </c>
      <c r="E61" s="82">
        <f>IF(ISERROR((Data!F67/Data!E67)/(Data!F65/Data!E65)),"",(Data!F67/Data!E67)/(Data!F65/Data!E65))</f>
        <v>0.9711742030075504</v>
      </c>
      <c r="F61" s="82">
        <f>IF(ISERROR((Data!G67/Data!F67)/(Data!G65/Data!F65)),"",(Data!G67/Data!F67)/(Data!G65/Data!F65))</f>
        <v>0.9948005800855046</v>
      </c>
      <c r="G61" s="47"/>
      <c r="H61" s="47"/>
      <c r="I61" s="47"/>
      <c r="J61" s="47" t="s">
        <v>378</v>
      </c>
      <c r="K61" s="47"/>
      <c r="L61" s="47"/>
      <c r="M61" s="47"/>
    </row>
    <row r="62" spans="1:13" ht="12.75" customHeight="1">
      <c r="A62" s="81" t="s">
        <v>160</v>
      </c>
      <c r="B62" s="82">
        <f>IF(ISERROR((Data!C76/Data!B76)/(Data!C65/Data!B65)),"",(Data!C76/Data!B76)/(Data!C65/Data!B65))</f>
        <v>0.8843341968015691</v>
      </c>
      <c r="C62" s="82">
        <f>IF(ISERROR((Data!D76/Data!C76)/(Data!D65/Data!C65)),"",(Data!D76/Data!C76)/(Data!D65/Data!C65))</f>
        <v>1.1564212173682187</v>
      </c>
      <c r="D62" s="82">
        <f>IF(ISERROR((Data!E76/Data!D76)/(Data!E65/Data!D65)),"",(Data!E76/Data!D76)/(Data!E65/Data!D65))</f>
        <v>0.7742286885114683</v>
      </c>
      <c r="E62" s="82">
        <f>IF(ISERROR((Data!F76/Data!E76)/(Data!F65/Data!E65)),"",(Data!F76/Data!E76)/(Data!F65/Data!E65))</f>
        <v>1.0054900989138413</v>
      </c>
      <c r="F62" s="82">
        <f>IF(ISERROR((Data!G76/Data!F76)/(Data!G65/Data!F65)),"",(Data!G76/Data!F76)/(Data!G65/Data!F65))</f>
        <v>0.9605316178698693</v>
      </c>
      <c r="G62" s="47"/>
      <c r="H62" s="47"/>
      <c r="I62" s="47"/>
      <c r="J62" s="47" t="s">
        <v>379</v>
      </c>
      <c r="K62" s="47"/>
      <c r="L62" s="47"/>
      <c r="M62" s="47"/>
    </row>
    <row r="63" spans="1:13" ht="12.75" customHeight="1">
      <c r="A63" s="101" t="s">
        <v>312</v>
      </c>
      <c r="G63" s="47"/>
      <c r="H63" s="47"/>
      <c r="I63" s="47"/>
      <c r="J63" s="47"/>
      <c r="K63" s="47"/>
      <c r="L63" s="47"/>
      <c r="M63" s="47"/>
    </row>
    <row r="64" spans="1:13" ht="12.75" customHeight="1">
      <c r="A64" s="81" t="s">
        <v>313</v>
      </c>
      <c r="B64" s="90">
        <f>IF(ISERROR(Data!C67/Data!C65),"",Data!C67/Data!C65)</f>
        <v>0.529467526762387</v>
      </c>
      <c r="C64" s="90">
        <f>IF(ISERROR(Data!D67/Data!D65),"",Data!D67/Data!D65)</f>
        <v>0.535089748334567</v>
      </c>
      <c r="D64" s="90">
        <f>IF(ISERROR(Data!E67/Data!E65),"",Data!E67/Data!E65)</f>
        <v>0.5405269891766659</v>
      </c>
      <c r="E64" s="90">
        <f>IF(ISERROR(Data!F67/Data!F65),"",Data!F67/Data!F65)</f>
        <v>0.5249458679177192</v>
      </c>
      <c r="F64" s="90">
        <f>IF(ISERROR(Data!G67/Data!G65),"",Data!G67/Data!G65)</f>
        <v>0.5222164539180358</v>
      </c>
      <c r="G64" s="47"/>
      <c r="H64" s="47"/>
      <c r="I64" s="47"/>
      <c r="J64" s="47" t="s">
        <v>374</v>
      </c>
      <c r="K64" s="47"/>
      <c r="L64" s="47"/>
      <c r="M64" s="47"/>
    </row>
    <row r="65" spans="1:13" ht="12.75" customHeight="1">
      <c r="A65" s="81" t="s">
        <v>314</v>
      </c>
      <c r="B65" s="82">
        <f>IF(ISERROR(Data!C76/Data!C67),"",Data!C76/Data!C67)</f>
        <v>0.3038864628820961</v>
      </c>
      <c r="C65" s="82">
        <f>IF(ISERROR(Data!D76/Data!D67),"",Data!D76/Data!D67)</f>
        <v>0.34772835343448755</v>
      </c>
      <c r="D65" s="82">
        <f>IF(ISERROR(Data!E76/Data!E67),"",Data!E76/Data!E67)</f>
        <v>0.2665131305376963</v>
      </c>
      <c r="E65" s="82">
        <f>IF(ISERROR(Data!F76/Data!F67),"",Data!F76/Data!F67)</f>
        <v>0.2759302225659534</v>
      </c>
      <c r="F65" s="82">
        <f>IF(ISERROR(Data!G76/Data!G67),"",Data!G76/Data!G67)</f>
        <v>0.2664249583345516</v>
      </c>
      <c r="G65" s="47"/>
      <c r="H65" s="47"/>
      <c r="I65" s="47"/>
      <c r="J65" s="47" t="s">
        <v>320</v>
      </c>
      <c r="K65" s="47"/>
      <c r="L65" s="47"/>
      <c r="M65" s="47"/>
    </row>
    <row r="66" spans="1:13" ht="12.75" customHeight="1">
      <c r="A66" s="81" t="s">
        <v>315</v>
      </c>
      <c r="B66" s="82">
        <f>IF(ISERROR(Data!C81/Data!C76),"",Data!C81/Data!C76)</f>
        <v>1.0123580974277913</v>
      </c>
      <c r="C66" s="82">
        <f>IF(ISERROR(Data!D81/Data!D76),"",Data!D81/Data!D76)</f>
        <v>1.004351069119841</v>
      </c>
      <c r="D66" s="82">
        <f>IF(ISERROR(Data!E81/Data!E76),"",Data!E81/Data!E76)</f>
        <v>0.9879980796927509</v>
      </c>
      <c r="E66" s="82">
        <f>IF(ISERROR(Data!F81/Data!F76),"",Data!F81/Data!F76)</f>
        <v>0.9170559534932005</v>
      </c>
      <c r="F66" s="82">
        <f>IF(ISERROR(Data!G81/Data!G76),"",Data!G81/Data!G76)</f>
        <v>0.9113257243195786</v>
      </c>
      <c r="G66" s="47"/>
      <c r="H66" s="47"/>
      <c r="I66" s="47"/>
      <c r="J66" s="47" t="s">
        <v>321</v>
      </c>
      <c r="K66" s="47"/>
      <c r="L66" s="47"/>
      <c r="M66" s="47"/>
    </row>
    <row r="67" spans="1:13" ht="12.75" customHeight="1">
      <c r="A67" s="81" t="s">
        <v>316</v>
      </c>
      <c r="B67" s="82">
        <f>IF(ISERROR(Data!C86/Data!C81),"",Data!C86/Data!C81)</f>
        <v>0.7332860184528034</v>
      </c>
      <c r="C67" s="82">
        <f>IF(ISERROR(Data!D86/Data!D81),"",Data!D86/Data!D81)</f>
        <v>0.74006683995544</v>
      </c>
      <c r="D67" s="82">
        <f>IF(ISERROR(Data!E86/Data!E81),"",Data!E86/Data!E81)</f>
        <v>0.7699222546161322</v>
      </c>
      <c r="E67" s="82">
        <f>IF(ISERROR(Data!F86/Data!F81),"",Data!F86/Data!F81)</f>
        <v>0.7314919628707267</v>
      </c>
      <c r="F67" s="82">
        <f>IF(ISERROR(Data!G86/Data!G81),"",Data!G86/Data!G81)</f>
        <v>0.7483140655105973</v>
      </c>
      <c r="G67" s="47"/>
      <c r="H67" s="47"/>
      <c r="I67" s="47"/>
      <c r="J67" s="47" t="s">
        <v>322</v>
      </c>
      <c r="K67" s="47"/>
      <c r="L67" s="47"/>
      <c r="M67" s="47"/>
    </row>
    <row r="68" spans="1:13" ht="12.75" customHeight="1">
      <c r="A68" s="81" t="s">
        <v>317</v>
      </c>
      <c r="B68" s="82">
        <f>IF(ISERROR(Data!C86/Data!C65),"",Data!C86/Data!C65)</f>
        <v>0.11944232503294722</v>
      </c>
      <c r="C68" s="82">
        <f>IF(ISERROR(Data!D86/Data!D65),"",Data!D86/Data!D65)</f>
        <v>0.13830033308660253</v>
      </c>
      <c r="D68" s="82">
        <f>IF(ISERROR(Data!E86/Data!E65),"",Data!E86/Data!E65)</f>
        <v>0.10958193575158201</v>
      </c>
      <c r="E68" s="82">
        <f>IF(ISERROR(Data!F86/Data!F65),"",Data!F86/Data!F65)</f>
        <v>0.0971670876939733</v>
      </c>
      <c r="F68" s="82">
        <f>IF(ISERROR(Data!G86/Data!G65),"",Data!G86/Data!G65)</f>
        <v>0.09488181762658035</v>
      </c>
      <c r="G68" s="594"/>
      <c r="H68" s="47"/>
      <c r="I68" s="47"/>
      <c r="J68" s="47" t="s">
        <v>323</v>
      </c>
      <c r="K68" s="47"/>
      <c r="L68" s="47"/>
      <c r="M68" s="47"/>
    </row>
    <row r="69" spans="1:13" ht="12.75" customHeight="1">
      <c r="A69" s="102" t="s">
        <v>182</v>
      </c>
      <c r="B69" s="82"/>
      <c r="C69" s="82"/>
      <c r="D69" s="82"/>
      <c r="E69" s="82"/>
      <c r="F69" s="82"/>
      <c r="G69" s="47"/>
      <c r="H69" s="47"/>
      <c r="I69" s="47"/>
      <c r="J69" s="47"/>
      <c r="K69" s="47"/>
      <c r="L69" s="47"/>
      <c r="M69" s="47"/>
    </row>
    <row r="70" spans="1:13" ht="12.75" customHeight="1">
      <c r="A70" s="81" t="s">
        <v>318</v>
      </c>
      <c r="B70" s="82">
        <f>IF(ISERROR(Data!C92/Data!C86),"",Data!C92/Data!C86)</f>
        <v>0.2611304684475416</v>
      </c>
      <c r="C70" s="82">
        <f>IF(ISERROR(Data!D92/Data!D86),"",Data!D92/Data!D86)</f>
        <v>1.1450075263421977</v>
      </c>
      <c r="D70" s="82">
        <f>IF(ISERROR(Data!E92/Data!E86),"",Data!E92/Data!E86)</f>
        <v>1.0230356579362574</v>
      </c>
      <c r="E70" s="82">
        <f>IF(ISERROR(Data!F92/Data!F86),"",Data!F92/Data!F86)</f>
        <v>0.5948622717424946</v>
      </c>
      <c r="F70" s="82">
        <f>IF(ISERROR(Data!G92/Data!G86),"",Data!G92/Data!G86)</f>
        <v>1.1136144190537496</v>
      </c>
      <c r="G70" s="47"/>
      <c r="H70" s="47"/>
      <c r="I70" s="47"/>
      <c r="J70" s="47" t="s">
        <v>324</v>
      </c>
      <c r="K70" s="47"/>
      <c r="L70" s="47"/>
      <c r="M70" s="47"/>
    </row>
    <row r="71" spans="1:13" ht="12.75" customHeight="1">
      <c r="A71" s="81" t="s">
        <v>319</v>
      </c>
      <c r="B71" s="82">
        <f>IF(ISERROR(Data!C92/Data!C65),"",Data!C92/Data!C65)</f>
        <v>0.031190030288317034</v>
      </c>
      <c r="C71" s="82">
        <f>IF(ISERROR(Data!D92/Data!D65),"",Data!D92/Data!D65)</f>
        <v>0.15835492227979275</v>
      </c>
      <c r="D71" s="82">
        <f>IF(ISERROR(Data!E92/Data!E65),"",Data!E92/Data!E65)</f>
        <v>0.1121062277395484</v>
      </c>
      <c r="E71" s="82">
        <f>IF(ISERROR(Data!F92/Data!F65),"",Data!F92/Data!F65)</f>
        <v>0.057801034524239146</v>
      </c>
      <c r="F71" s="82">
        <f>IF(ISERROR(Data!G92/Data!G65),"",Data!G92/Data!G65)</f>
        <v>0.10566176021498809</v>
      </c>
      <c r="G71" s="47"/>
      <c r="H71" s="47"/>
      <c r="I71" s="47"/>
      <c r="J71" s="47" t="s">
        <v>325</v>
      </c>
      <c r="K71" s="47"/>
      <c r="L71" s="47"/>
      <c r="M71" s="47"/>
    </row>
    <row r="72" spans="1:13" ht="12.75" customHeight="1">
      <c r="A72" s="51"/>
      <c r="B72" s="100"/>
      <c r="C72" s="100"/>
      <c r="D72" s="100"/>
      <c r="E72" s="100"/>
      <c r="F72" s="100"/>
      <c r="G72" s="47"/>
      <c r="H72" s="47"/>
      <c r="I72" s="47"/>
      <c r="J72" s="47"/>
      <c r="K72" s="47"/>
      <c r="L72" s="47"/>
      <c r="M72" s="47"/>
    </row>
    <row r="73" spans="1:13" ht="12.75" customHeight="1" thickBot="1">
      <c r="A73" s="51"/>
      <c r="B73" s="100"/>
      <c r="C73" s="100"/>
      <c r="D73" s="100"/>
      <c r="E73" s="100"/>
      <c r="F73" s="100"/>
      <c r="G73" s="47"/>
      <c r="H73" s="47"/>
      <c r="I73" s="47"/>
      <c r="J73" s="47"/>
      <c r="K73" s="47"/>
      <c r="L73" s="47"/>
      <c r="M73" s="47"/>
    </row>
    <row r="74" spans="1:19" ht="12.75" customHeight="1" thickBot="1">
      <c r="A74" s="103" t="s">
        <v>450</v>
      </c>
      <c r="B74" s="104"/>
      <c r="C74" s="104"/>
      <c r="D74" s="104"/>
      <c r="E74" s="104"/>
      <c r="F74" s="105"/>
      <c r="G74" s="47"/>
      <c r="H74" s="47"/>
      <c r="I74" s="47"/>
      <c r="J74" s="75" t="s">
        <v>502</v>
      </c>
      <c r="K74" s="47"/>
      <c r="L74" s="47"/>
      <c r="M74" s="47"/>
      <c r="N74" s="47"/>
      <c r="O74" s="47"/>
      <c r="P74" s="47"/>
      <c r="Q74" s="47"/>
      <c r="R74" s="47"/>
      <c r="S74" s="47"/>
    </row>
    <row r="75" spans="1:18" ht="12.75" customHeight="1" thickBot="1">
      <c r="A75" s="76" t="s">
        <v>19</v>
      </c>
      <c r="B75" s="77">
        <f>Data!$C$11</f>
        <v>2008</v>
      </c>
      <c r="C75" s="77">
        <f>Data!$D$11</f>
        <v>2009</v>
      </c>
      <c r="D75" s="77">
        <f>Data!$E$11</f>
        <v>2010</v>
      </c>
      <c r="E75" s="77">
        <f>Data!$F$11</f>
        <v>2011</v>
      </c>
      <c r="F75" s="77">
        <f>Data!$G$11</f>
        <v>2012</v>
      </c>
      <c r="N75" s="47"/>
      <c r="P75" s="47"/>
      <c r="R75" s="47"/>
    </row>
    <row r="76" spans="1:19" ht="12.75" customHeight="1">
      <c r="A76" s="70"/>
      <c r="B76" s="80"/>
      <c r="C76" s="80"/>
      <c r="D76" s="80"/>
      <c r="E76" s="80"/>
      <c r="F76" s="61"/>
      <c r="N76" s="47"/>
      <c r="O76" s="47"/>
      <c r="P76" s="47"/>
      <c r="Q76" s="47"/>
      <c r="R76" s="47"/>
      <c r="S76" s="47"/>
    </row>
    <row r="77" spans="1:13" ht="12.75" customHeight="1">
      <c r="A77" s="79" t="s">
        <v>451</v>
      </c>
      <c r="B77" s="80"/>
      <c r="C77" s="80"/>
      <c r="D77" s="80"/>
      <c r="E77" s="80"/>
      <c r="F77" s="61"/>
      <c r="G77" s="47"/>
      <c r="H77" s="47"/>
      <c r="I77" s="47"/>
      <c r="J77" s="47"/>
      <c r="K77" s="47"/>
      <c r="L77" s="47"/>
      <c r="M77" s="47"/>
    </row>
    <row r="78" spans="1:13" ht="12.75" customHeight="1">
      <c r="A78" s="81" t="s">
        <v>452</v>
      </c>
      <c r="B78" s="106">
        <f>IF(ISERROR(Data!C24/Data!C44),"",Data!C24/Data!C44)</f>
        <v>1.2297712529873677</v>
      </c>
      <c r="C78" s="106">
        <f>IF(ISERROR(Data!D24/Data!D44),"",Data!D24/Data!D44)</f>
        <v>1.4357012334399268</v>
      </c>
      <c r="D78" s="106">
        <f>IF(ISERROR(Data!E24/Data!E44),"",Data!E24/Data!E44)</f>
        <v>1.1055247923483513</v>
      </c>
      <c r="E78" s="106">
        <f>IF(ISERROR(Data!F24/Data!F44),"",Data!F24/Data!F44)</f>
        <v>0.9607249091109398</v>
      </c>
      <c r="F78" s="106">
        <f>IF(ISERROR(Data!G24/Data!G44),"",Data!G24/Data!G44)</f>
        <v>1.0954415120837966</v>
      </c>
      <c r="G78" s="47"/>
      <c r="H78" s="47"/>
      <c r="I78" s="47"/>
      <c r="J78" s="47" t="s">
        <v>326</v>
      </c>
      <c r="K78" s="47"/>
      <c r="L78" s="47"/>
      <c r="M78" s="47"/>
    </row>
    <row r="79" spans="1:13" ht="12.75" customHeight="1">
      <c r="A79" s="81" t="s">
        <v>453</v>
      </c>
      <c r="B79" s="106">
        <f>IF(ISERROR((Data!C16+Data!C17+Data!C18)/Data!C44),"",(Data!C16+Data!C17+Data!C18)/Data!C44)</f>
        <v>0.7920792079207921</v>
      </c>
      <c r="C79" s="106">
        <f>IF(ISERROR((Data!D16+Data!D17+Data!D18)/Data!D44),"",(Data!D16+Data!D17+Data!D18)/Data!D44)</f>
        <v>1.0003426222019187</v>
      </c>
      <c r="D79" s="106">
        <f>IF(ISERROR((Data!E16+Data!E17+Data!E18)/Data!E44),"",(Data!E16+Data!E17+Data!E18)/Data!E44)</f>
        <v>0.7986408255726152</v>
      </c>
      <c r="E79" s="106">
        <f>IF(ISERROR((Data!F16+Data!F17+Data!F18)/Data!F44),"",(Data!F16+Data!F17+Data!F18)/Data!F44)</f>
        <v>0.6244904704197423</v>
      </c>
      <c r="F79" s="106">
        <f>IF(ISERROR((Data!G16+Data!G17+Data!G18)/Data!G44),"",(Data!G16+Data!G17+Data!G18)/Data!G44)</f>
        <v>0.799344607642343</v>
      </c>
      <c r="G79" s="47"/>
      <c r="H79" s="47"/>
      <c r="I79" s="47"/>
      <c r="J79" s="47" t="s">
        <v>327</v>
      </c>
      <c r="K79" s="47"/>
      <c r="L79" s="47"/>
      <c r="M79" s="47"/>
    </row>
    <row r="80" spans="1:19" ht="12.75" customHeight="1">
      <c r="A80" s="81" t="s">
        <v>454</v>
      </c>
      <c r="B80" s="82">
        <f>IF(ISERROR(Data!C113/((Data!B44+Data!C44)/2)),"",Data!C113/((Data!B44+Data!C44)/2))</f>
        <v>0.8463119709794438</v>
      </c>
      <c r="C80" s="82">
        <f>IF(ISERROR(Data!D113/((Data!C44+Data!D44)/2)),"",Data!D113/((Data!C44+Data!D44)/2))</f>
        <v>0.7747819643162515</v>
      </c>
      <c r="D80" s="82">
        <f>IF(ISERROR(Data!E113/((Data!D44+Data!E44)/2)),"",Data!E113/((Data!D44+Data!E44)/2))</f>
        <v>0.685491723466407</v>
      </c>
      <c r="E80" s="82">
        <f>IF(ISERROR(Data!F113/((Data!E44+Data!F44)/2)),"",Data!F113/((Data!E44+Data!F44)/2))</f>
        <v>0.5254068025612407</v>
      </c>
      <c r="F80" s="82">
        <f>IF(ISERROR(Data!G113/((Data!F44+Data!G44)/2)),"",Data!G113/((Data!F44+Data!G44)/2))</f>
        <v>0.48117356638197656</v>
      </c>
      <c r="G80" s="47"/>
      <c r="H80" s="47"/>
      <c r="I80" s="47"/>
      <c r="J80" s="47" t="s">
        <v>328</v>
      </c>
      <c r="K80" s="47"/>
      <c r="L80" s="47"/>
      <c r="M80" s="47"/>
      <c r="N80" s="47"/>
      <c r="O80" s="47"/>
      <c r="P80" s="47"/>
      <c r="Q80" s="47"/>
      <c r="R80" s="47"/>
      <c r="S80" s="47"/>
    </row>
    <row r="81" spans="1:6" ht="12.75" customHeight="1">
      <c r="A81" s="51"/>
      <c r="B81" s="86"/>
      <c r="C81" s="86"/>
      <c r="D81" s="86"/>
      <c r="E81" s="86"/>
      <c r="F81" s="87"/>
    </row>
    <row r="82" spans="1:6" ht="12.75" customHeight="1">
      <c r="A82" s="79" t="s">
        <v>448</v>
      </c>
      <c r="B82" s="79"/>
      <c r="C82" s="79"/>
      <c r="D82" s="79"/>
      <c r="E82" s="79"/>
      <c r="F82" s="70"/>
    </row>
    <row r="83" spans="1:19" ht="12.75" customHeight="1">
      <c r="A83" s="81" t="s">
        <v>114</v>
      </c>
      <c r="B83" s="83">
        <f>IF(ISERROR(Data!C65/((Data!B18+Data!C18)/2)),"",Data!C65/((Data!B18+Data!C18)/2))</f>
        <v>9.53505291005291</v>
      </c>
      <c r="C83" s="83">
        <f>IF(ISERROR(Data!D65/((Data!C18+Data!D18)/2)),"",Data!D65/((Data!C18+Data!D18)/2))</f>
        <v>9.29021166863651</v>
      </c>
      <c r="D83" s="83">
        <f>IF(ISERROR(Data!E65/((Data!D18+Data!E18)/2)),"",Data!E65/((Data!D18+Data!E18)/2))</f>
        <v>10.566913309582533</v>
      </c>
      <c r="E83" s="83">
        <f>IF(ISERROR(Data!F65/((Data!E18+Data!F18)/2)),"",Data!F65/((Data!E18+Data!F18)/2))</f>
        <v>10.04971666037023</v>
      </c>
      <c r="F83" s="83">
        <f>IF(ISERROR(Data!G65/((Data!F18+Data!G18)/2)),"",Data!G65/((Data!F18+Data!G18)/2))</f>
        <v>9.387515229699707</v>
      </c>
      <c r="G83" s="47"/>
      <c r="H83" s="47"/>
      <c r="I83" s="47"/>
      <c r="J83" s="47" t="s">
        <v>329</v>
      </c>
      <c r="K83" s="47"/>
      <c r="L83" s="47"/>
      <c r="M83" s="47"/>
      <c r="N83" s="47"/>
      <c r="O83" s="47"/>
      <c r="P83" s="47"/>
      <c r="Q83" s="47"/>
      <c r="R83" s="47"/>
      <c r="S83" s="47"/>
    </row>
    <row r="84" spans="1:19" ht="12.75" customHeight="1">
      <c r="A84" s="81" t="s">
        <v>111</v>
      </c>
      <c r="B84" s="107">
        <f>IF(ISERROR(365/B83),"",365/B83)</f>
        <v>38.27980855933967</v>
      </c>
      <c r="C84" s="107">
        <f>IF(ISERROR(365/C83),"",365/C83)</f>
        <v>39.2886634900074</v>
      </c>
      <c r="D84" s="107">
        <f>IF(ISERROR(365/D83),"",365/D83)</f>
        <v>34.54178049033508</v>
      </c>
      <c r="E84" s="107">
        <f>IF(ISERROR(365/E83),"",365/E83)</f>
        <v>36.31943191386984</v>
      </c>
      <c r="F84" s="107">
        <f>IF(ISERROR(365/F83),"",365/F83)</f>
        <v>38.881428266047756</v>
      </c>
      <c r="G84" s="47"/>
      <c r="H84" s="47"/>
      <c r="I84" s="47"/>
      <c r="J84" s="47" t="s">
        <v>331</v>
      </c>
      <c r="K84" s="47"/>
      <c r="L84" s="47"/>
      <c r="M84" s="47"/>
      <c r="N84" s="47"/>
      <c r="O84" s="47"/>
      <c r="P84" s="47"/>
      <c r="Q84" s="47"/>
      <c r="R84" s="47"/>
      <c r="S84" s="47"/>
    </row>
    <row r="85" spans="1:18" ht="12.75" customHeight="1">
      <c r="A85" s="81" t="s">
        <v>470</v>
      </c>
      <c r="B85" s="83">
        <f>IF(ISERROR(-Data!C66/((Data!B19+Data!C19)/2)),"",-Data!C66/((Data!B19+Data!C19)/2))</f>
        <v>8.458437240232751</v>
      </c>
      <c r="C85" s="83">
        <f>IF(ISERROR(-Data!D66/((Data!C19+Data!D19)/2)),"",-Data!D66/((Data!C19+Data!D19)/2))</f>
        <v>7.820622568093385</v>
      </c>
      <c r="D85" s="83">
        <f>IF(ISERROR(-Data!E66/((Data!D19+Data!E19)/2)),"",-Data!E66/((Data!D19+Data!E19)/2))</f>
        <v>8.873121869782972</v>
      </c>
      <c r="E85" s="83">
        <f>IF(ISERROR(-Data!F66/((Data!E19+Data!F19)/2)),"",-Data!F66/((Data!E19+Data!F19)/2))</f>
        <v>8.777052368384497</v>
      </c>
      <c r="F85" s="83">
        <f>IF(ISERROR(-Data!G66/((Data!F19+Data!G19)/2)),"",-Data!G66/((Data!F19+Data!G19)/2))</f>
        <v>8.447894168466522</v>
      </c>
      <c r="G85" s="47"/>
      <c r="H85" s="47"/>
      <c r="I85" s="47"/>
      <c r="J85" s="47" t="s">
        <v>337</v>
      </c>
      <c r="K85" s="47"/>
      <c r="L85" s="47"/>
      <c r="M85" s="47"/>
      <c r="N85" s="47"/>
      <c r="P85" s="47"/>
      <c r="R85" s="47"/>
    </row>
    <row r="86" spans="1:19" ht="12.75" customHeight="1">
      <c r="A86" s="81" t="s">
        <v>112</v>
      </c>
      <c r="B86" s="107">
        <f>IF(ISERROR(365/B85),"",365/B85)</f>
        <v>43.15217925409071</v>
      </c>
      <c r="C86" s="107">
        <f>IF(ISERROR(365/C85),"",365/C85)</f>
        <v>46.67147619284542</v>
      </c>
      <c r="D86" s="107">
        <f>IF(ISERROR(365/D85),"",365/D85)</f>
        <v>41.13546566321731</v>
      </c>
      <c r="E86" s="107">
        <f>IF(ISERROR(365/E85),"",365/E85)</f>
        <v>41.58571519007375</v>
      </c>
      <c r="F86" s="107">
        <f>IF(ISERROR(365/F85),"",365/F85)</f>
        <v>43.20603368380685</v>
      </c>
      <c r="G86" s="47"/>
      <c r="H86" s="47"/>
      <c r="I86" s="47"/>
      <c r="J86" s="47" t="s">
        <v>332</v>
      </c>
      <c r="K86" s="47"/>
      <c r="L86" s="47"/>
      <c r="M86" s="47"/>
      <c r="N86" s="47"/>
      <c r="O86" s="47"/>
      <c r="P86" s="47"/>
      <c r="Q86" s="47"/>
      <c r="R86" s="47"/>
      <c r="S86" s="47"/>
    </row>
    <row r="87" spans="1:10" ht="12.75" customHeight="1">
      <c r="A87" s="81" t="s">
        <v>109</v>
      </c>
      <c r="B87" s="83">
        <f>IF(ISERROR((-Data!C66+Data!C19-Data!B19)/((Data!C36+Data!B36)/2)),"",(-Data!C66+Data!C19-Data!B19)/((Data!C36+Data!B36)/2))</f>
        <v>7.612056213017752</v>
      </c>
      <c r="C87" s="83">
        <f>IF(ISERROR((-Data!D66+Data!D19-Data!C19)/((Data!D36+Data!C36)/2)),"",(-Data!D66+Data!D19-Data!C19)/((Data!D36+Data!C36)/2))</f>
        <v>7.052558058320238</v>
      </c>
      <c r="D87" s="83">
        <f>IF(ISERROR((-Data!E66+Data!E19-Data!D19)/((Data!E36+Data!D36)/2)),"",(-Data!E66+Data!E19-Data!D19)/((Data!E36+Data!D36)/2))</f>
        <v>8.102282834272161</v>
      </c>
      <c r="E87" s="83">
        <f>IF(ISERROR((-Data!F66+Data!F19-Data!E19)/((Data!F36+Data!E36)/2)),"",(-Data!F66+Data!F19-Data!E19)/((Data!F36+Data!E36)/2))</f>
        <v>8.064418721690991</v>
      </c>
      <c r="F87" s="83">
        <f>IF(ISERROR((-Data!G66+Data!G19-Data!F19)/((Data!G36+Data!F36)/2)),"",(-Data!G66+Data!G19-Data!F19)/((Data!G36+Data!F36)/2))</f>
        <v>7.275603468479025</v>
      </c>
      <c r="J87" s="17" t="s">
        <v>330</v>
      </c>
    </row>
    <row r="88" spans="1:10" ht="12.75" customHeight="1">
      <c r="A88" s="81" t="s">
        <v>113</v>
      </c>
      <c r="B88" s="107">
        <f>IF(ISERROR(365/B87),"",365/B87)</f>
        <v>47.95025020648107</v>
      </c>
      <c r="C88" s="107">
        <f>IF(ISERROR(365/C87),"",365/C87)</f>
        <v>51.754270859123544</v>
      </c>
      <c r="D88" s="107">
        <f>IF(ISERROR(365/D87),"",365/D87)</f>
        <v>45.0490321636357</v>
      </c>
      <c r="E88" s="107">
        <f>IF(ISERROR(365/E87),"",365/E87)</f>
        <v>45.26054667998003</v>
      </c>
      <c r="F88" s="107">
        <f>IF(ISERROR(365/F87),"",365/F87)</f>
        <v>50.16765984860686</v>
      </c>
      <c r="J88" s="47" t="s">
        <v>333</v>
      </c>
    </row>
    <row r="89" spans="1:13" ht="12.75" customHeight="1">
      <c r="A89" s="81" t="s">
        <v>110</v>
      </c>
      <c r="B89" s="107">
        <f>IF(ISERROR(B84+B86-B88),"",B84+B86-B88)</f>
        <v>33.48173760694931</v>
      </c>
      <c r="C89" s="107">
        <f>IF(ISERROR(C84+C86-C88),"",C84+C86-C88)</f>
        <v>34.20586882372928</v>
      </c>
      <c r="D89" s="107">
        <f>IF(ISERROR(D84+D86-D88),"",D84+D86-D88)</f>
        <v>30.628213989916688</v>
      </c>
      <c r="E89" s="107">
        <f>IF(ISERROR(E84+E86-E88),"",E84+E86-E88)</f>
        <v>32.64460042396356</v>
      </c>
      <c r="F89" s="107">
        <f>IF(ISERROR(F84+F86-F88),"",F84+F86-F88)</f>
        <v>31.91980210124774</v>
      </c>
      <c r="G89" s="47"/>
      <c r="H89" s="47"/>
      <c r="I89" s="47"/>
      <c r="J89" s="47" t="s">
        <v>334</v>
      </c>
      <c r="K89" s="47"/>
      <c r="L89" s="47"/>
      <c r="M89" s="47"/>
    </row>
    <row r="90" spans="1:19" ht="12.75" customHeight="1">
      <c r="A90" s="81" t="s">
        <v>33</v>
      </c>
      <c r="B90" s="83">
        <f>IF(ISERROR(Data!C65/((Data!B26+Data!B27+Data!C26+Data!C27)/2)),"",Data!C65/((Data!B26+Data!B27+Data!C26+Data!C27)/2))</f>
        <v>3.778865056135599</v>
      </c>
      <c r="C90" s="83">
        <f>IF(ISERROR(Data!D65/((Data!C26+Data!C27+Data!D26+Data!D27)/2)),"",Data!D65/((Data!C26+Data!C27+Data!D26+Data!D27)/2))</f>
        <v>3.553217720062464</v>
      </c>
      <c r="D90" s="83">
        <f>IF(ISERROR(Data!E65/((Data!D26+Data!D27+Data!E26+Data!E27)/2)),"",Data!E65/((Data!D26+Data!D27+Data!E26+Data!E27)/2))</f>
        <v>3.6457499448454094</v>
      </c>
      <c r="E90" s="83">
        <f>IF(ISERROR(Data!F65/((Data!E26+Data!E27+Data!F26+Data!F27)/2)),"",Data!F65/((Data!E26+Data!E27+Data!F26+Data!F27)/2))</f>
        <v>3.431933120033027</v>
      </c>
      <c r="F90" s="83">
        <f>IF(ISERROR(Data!G65/((Data!F26+Data!F27+Data!G26+Data!G27)/2)),"",Data!G65/((Data!F26+Data!F27+Data!G26+Data!G27)/2))</f>
        <v>3.3729206365555955</v>
      </c>
      <c r="G90" s="47"/>
      <c r="H90" s="47"/>
      <c r="I90" s="47"/>
      <c r="J90" s="47" t="s">
        <v>335</v>
      </c>
      <c r="K90" s="47"/>
      <c r="L90" s="47"/>
      <c r="M90" s="47"/>
      <c r="N90" s="47"/>
      <c r="O90" s="47"/>
      <c r="P90" s="47"/>
      <c r="Q90" s="47"/>
      <c r="R90" s="47"/>
      <c r="S90" s="47"/>
    </row>
    <row r="91" spans="1:13" ht="12.75" customHeight="1">
      <c r="A91" s="81" t="s">
        <v>174</v>
      </c>
      <c r="B91" s="83">
        <f>IF(ISERROR(Data!C65/((Data!B16+Data!C16)/2)),"",Data!C65/((Data!B16+Data!C16)/2))</f>
        <v>29.08607935440484</v>
      </c>
      <c r="C91" s="83">
        <f>IF(ISERROR(Data!D65/((Data!C16+Data!D16)/2)),"",Data!D65/((Data!C16+Data!D16)/2))</f>
        <v>14.393873813883802</v>
      </c>
      <c r="D91" s="83">
        <f>IF(ISERROR(Data!E65/((Data!D16+Data!E16)/2)),"",Data!E65/((Data!D16+Data!E16)/2))</f>
        <v>11.700991300829456</v>
      </c>
      <c r="E91" s="83">
        <f>IF(ISERROR(Data!F65/((Data!E16+Data!F16)/2)),"",Data!F65/((Data!E16+Data!F16)/2))</f>
        <v>13.287512487512487</v>
      </c>
      <c r="F91" s="83">
        <f>IF(ISERROR(Data!G65/((Data!F16+Data!G16)/2)),"",Data!G65/((Data!F16+Data!G16)/2))</f>
        <v>12.63836356619066</v>
      </c>
      <c r="G91" s="47"/>
      <c r="H91" s="47"/>
      <c r="I91" s="47"/>
      <c r="J91" s="47" t="s">
        <v>336</v>
      </c>
      <c r="K91" s="47"/>
      <c r="L91" s="47"/>
      <c r="M91" s="47"/>
    </row>
    <row r="92" spans="1:13" ht="12.75" customHeight="1">
      <c r="A92" s="81" t="s">
        <v>121</v>
      </c>
      <c r="B92" s="83">
        <f>IF(ISERROR(365/B91),"",365/B91)</f>
        <v>12.548958405585998</v>
      </c>
      <c r="C92" s="83">
        <f>IF(ISERROR(365/C91),"",365/C91)</f>
        <v>25.358010270170244</v>
      </c>
      <c r="D92" s="83">
        <f>IF(ISERROR(365/D91),"",365/D91)</f>
        <v>31.19393824129465</v>
      </c>
      <c r="E92" s="83">
        <f>IF(ISERROR(365/E91),"",365/E91)</f>
        <v>27.469400336821845</v>
      </c>
      <c r="F92" s="83">
        <f>IF(ISERROR(365/F91),"",365/F91)</f>
        <v>28.880321260611982</v>
      </c>
      <c r="G92" s="47"/>
      <c r="H92" s="108"/>
      <c r="I92" s="47"/>
      <c r="J92" s="47" t="s">
        <v>338</v>
      </c>
      <c r="K92" s="47"/>
      <c r="L92" s="47"/>
      <c r="M92" s="47"/>
    </row>
    <row r="93" spans="1:19" ht="12.75" customHeight="1">
      <c r="A93" s="51"/>
      <c r="B93" s="86"/>
      <c r="C93" s="86"/>
      <c r="D93" s="86"/>
      <c r="E93" s="86"/>
      <c r="F93" s="87"/>
      <c r="N93" s="47"/>
      <c r="O93" s="47"/>
      <c r="P93" s="47"/>
      <c r="Q93" s="47"/>
      <c r="R93" s="47"/>
      <c r="S93" s="47"/>
    </row>
    <row r="94" spans="1:19" ht="12.75" customHeight="1">
      <c r="A94" s="79" t="s">
        <v>455</v>
      </c>
      <c r="B94" s="79"/>
      <c r="C94" s="79"/>
      <c r="D94" s="79"/>
      <c r="E94" s="79"/>
      <c r="F94" s="95"/>
      <c r="N94" s="47"/>
      <c r="O94" s="47"/>
      <c r="P94" s="47"/>
      <c r="Q94" s="47"/>
      <c r="R94" s="47"/>
      <c r="S94" s="47"/>
    </row>
    <row r="95" spans="1:18" ht="12.75" customHeight="1">
      <c r="A95" s="81" t="s">
        <v>456</v>
      </c>
      <c r="B95" s="82">
        <f>IF(ISERROR(Data!C50/Data!C33),"",Data!C50/Data!C33)</f>
        <v>0.6504417402900483</v>
      </c>
      <c r="C95" s="82">
        <f>IF(ISERROR(Data!D50/Data!D33),"",Data!D50/Data!D33)</f>
        <v>0.5622866894197952</v>
      </c>
      <c r="D95" s="82">
        <f>IF(ISERROR(Data!E50/Data!E33),"",Data!E50/Data!E33)</f>
        <v>0.6848854782621455</v>
      </c>
      <c r="E95" s="82">
        <f>IF(ISERROR(Data!F50/Data!F33),"",Data!F50/Data!F33)</f>
        <v>0.7132488131500233</v>
      </c>
      <c r="F95" s="82">
        <f>IF(ISERROR(Data!G50/Data!G33),"",Data!G50/Data!G33)</f>
        <v>0.6998981751922613</v>
      </c>
      <c r="G95" s="47"/>
      <c r="H95" s="47"/>
      <c r="I95" s="47"/>
      <c r="J95" s="47" t="s">
        <v>339</v>
      </c>
      <c r="K95" s="47"/>
      <c r="L95" s="47"/>
      <c r="M95" s="47"/>
      <c r="N95" s="47"/>
      <c r="P95" s="47"/>
      <c r="R95" s="47"/>
    </row>
    <row r="96" spans="1:19" ht="12.75" customHeight="1">
      <c r="A96" s="521" t="s">
        <v>17</v>
      </c>
      <c r="B96" s="82">
        <f>IF(ISERROR(Data!C50/Data!C59),"",Data!C50/Data!C59)</f>
        <v>1.8607534573199809</v>
      </c>
      <c r="C96" s="82">
        <f>IF(ISERROR(Data!D50/Data!D59),"",Data!D50/Data!D59)</f>
        <v>1.2846003898635479</v>
      </c>
      <c r="D96" s="82">
        <f>IF(ISERROR(Data!E50/Data!E59),"",Data!E50/Data!E59)</f>
        <v>2.1734494319240083</v>
      </c>
      <c r="E96" s="82">
        <f>IF(ISERROR(Data!F50/Data!F59),"",Data!F50/Data!F59)</f>
        <v>2.4873438920522513</v>
      </c>
      <c r="F96" s="82">
        <f>IF(ISERROR(Data!G50/Data!G59),"",Data!G50/Data!G59)</f>
        <v>2.332202330461181</v>
      </c>
      <c r="G96" s="47"/>
      <c r="H96" s="47"/>
      <c r="I96" s="47"/>
      <c r="J96" s="47" t="s">
        <v>341</v>
      </c>
      <c r="K96" s="47"/>
      <c r="L96" s="47"/>
      <c r="M96" s="47"/>
      <c r="N96" s="47"/>
      <c r="O96" s="47"/>
      <c r="P96" s="47"/>
      <c r="Q96" s="47"/>
      <c r="R96" s="47"/>
      <c r="S96" s="47"/>
    </row>
    <row r="97" spans="1:13" ht="12.75" customHeight="1">
      <c r="A97" s="89" t="s">
        <v>231</v>
      </c>
      <c r="B97" s="82">
        <f>IF(ISERROR(Data!C45/(Data!C45+Data!C59)),"",Data!C45/(Data!C45+Data!C59))</f>
        <v>0.3844422700587084</v>
      </c>
      <c r="C97" s="82">
        <f>IF(ISERROR(Data!D45/(Data!D45+Data!D59)),"",Data!D45/(Data!D45+Data!D59))</f>
        <v>0.29788261814668704</v>
      </c>
      <c r="D97" s="82">
        <f>IF(ISERROR(Data!E45/(Data!E45+Data!E59)),"",Data!E45/(Data!E45+Data!E59))</f>
        <v>0.4821940928270042</v>
      </c>
      <c r="E97" s="82">
        <f>IF(ISERROR(Data!F45/(Data!F45+Data!F59)),"",Data!F45/(Data!F45+Data!F59))</f>
        <v>0.4960088745267321</v>
      </c>
      <c r="F97" s="82">
        <f>IF(ISERROR(Data!G45/(Data!G45+Data!G59)),"",Data!G45/(Data!G45+Data!G59))</f>
        <v>0.512461093093616</v>
      </c>
      <c r="G97" s="47"/>
      <c r="H97" s="47"/>
      <c r="I97" s="47"/>
      <c r="J97" s="47" t="s">
        <v>342</v>
      </c>
      <c r="K97" s="47"/>
      <c r="L97" s="47"/>
      <c r="M97" s="47"/>
    </row>
    <row r="98" spans="1:13" ht="12.75" customHeight="1">
      <c r="A98" s="521" t="s">
        <v>709</v>
      </c>
      <c r="B98" s="82">
        <f>IF(ISERROR(Data!C45/Data!C59),"",Data!C45/Data!C59)</f>
        <v>0.6245429979335558</v>
      </c>
      <c r="C98" s="82">
        <f>IF(ISERROR(Data!D45/Data!D59),"",Data!D45/Data!D59)</f>
        <v>0.4242632725604862</v>
      </c>
      <c r="D98" s="82">
        <f>IF(ISERROR(Data!E45/Data!E59),"",Data!E45/Data!E59)</f>
        <v>0.93122555410691</v>
      </c>
      <c r="E98" s="82">
        <f>IF(ISERROR(Data!F45/Data!F59),"",Data!F45/Data!F59)</f>
        <v>0.9841619216230442</v>
      </c>
      <c r="F98" s="82">
        <f>IF(ISERROR(Data!G45/Data!G59),"",Data!G45/Data!G59)</f>
        <v>1.051118353497924</v>
      </c>
      <c r="G98" s="47"/>
      <c r="H98" s="47"/>
      <c r="I98" s="47"/>
      <c r="J98" s="47" t="s">
        <v>343</v>
      </c>
      <c r="K98" s="47"/>
      <c r="L98" s="47"/>
      <c r="M98" s="47"/>
    </row>
    <row r="99" spans="1:10" ht="12.75" customHeight="1">
      <c r="A99" s="81" t="s">
        <v>457</v>
      </c>
      <c r="B99" s="82">
        <f>IF(ISERROR(Data!C113/((Data!C50+Data!B50)/2)),"",Data!C113/((Data!C50+Data!B50)/2))</f>
        <v>0.3435597879442372</v>
      </c>
      <c r="C99" s="82">
        <f>IF(ISERROR(Data!D113/((Data!D50+Data!C50)/2)),"",Data!D113/((Data!D50+Data!C50)/2))</f>
        <v>0.29665197084115413</v>
      </c>
      <c r="D99" s="82">
        <f>IF(ISERROR(Data!E113/((Data!E50+Data!D50)/2)),"",Data!E113/((Data!E50+Data!D50)/2))</f>
        <v>0.24457536586425024</v>
      </c>
      <c r="E99" s="82">
        <f>IF(ISERROR(Data!F113/((Data!F50+Data!E50)/2)),"",Data!F113/((Data!F50+Data!E50)/2))</f>
        <v>0.18130954794242854</v>
      </c>
      <c r="F99" s="82">
        <f>IF(ISERROR(Data!G113/((Data!G50+Data!F50)/2)),"",Data!G113/((Data!G50+Data!F50)/2))</f>
        <v>0.16271036825238433</v>
      </c>
      <c r="J99" s="17" t="s">
        <v>344</v>
      </c>
    </row>
    <row r="100" spans="1:19" ht="12.75" customHeight="1">
      <c r="A100" s="81" t="s">
        <v>234</v>
      </c>
      <c r="B100" s="83">
        <f>IF(ISERROR((Data!C81-Data!C78)/(-Data!C78)),"",(Data!C81-Data!C78)/(-Data!C78))</f>
        <v>22.41337386018237</v>
      </c>
      <c r="C100" s="83">
        <f>IF(ISERROR((Data!D81-Data!D78)/(-Data!D78)),"",(Data!D81-Data!D78)/(-Data!D78))</f>
        <v>21.350125944584384</v>
      </c>
      <c r="D100" s="83">
        <f>IF(ISERROR((Data!E81-Data!E78)/(-Data!E78)),"",(Data!E81-Data!E78)/(-Data!E78))</f>
        <v>10.116279069767442</v>
      </c>
      <c r="E100" s="83">
        <f>IF(ISERROR((Data!F81-Data!F78)/(-Data!F78)),"",(Data!F81-Data!F78)/(-Data!F78))</f>
        <v>11.320093457943925</v>
      </c>
      <c r="F100" s="83">
        <f>IF(ISERROR((Data!G81-Data!G78)/(-Data!G78)),"",(Data!G81-Data!G78)/(-Data!G78))</f>
        <v>10.236929922135706</v>
      </c>
      <c r="J100" s="17" t="s">
        <v>345</v>
      </c>
      <c r="N100" s="47"/>
      <c r="O100" s="47"/>
      <c r="P100" s="47"/>
      <c r="Q100" s="47"/>
      <c r="R100" s="47"/>
      <c r="S100" s="47"/>
    </row>
    <row r="101" spans="1:13" ht="12.75" customHeight="1">
      <c r="A101" s="81" t="s">
        <v>235</v>
      </c>
      <c r="B101" s="83">
        <f>IF(ISERROR((Data!C81-Data!C78-Data!C75-Data!C80)/-Data!C78),"",(Data!C81-Data!C78-Data!C75-Data!C80)/-Data!C78)</f>
        <v>22.41337386018237</v>
      </c>
      <c r="C101" s="83">
        <f>IF(ISERROR((Data!D81-Data!D78-Data!D75-Data!D80)/-Data!D78),"",(Data!D81-Data!D78-Data!D75-Data!D80)/-Data!D78)</f>
        <v>21.350125944584384</v>
      </c>
      <c r="D101" s="83">
        <f>IF(ISERROR((Data!E81-Data!E78-Data!E75-Data!E80)/-Data!E78),"",(Data!E81-Data!E78-Data!E75-Data!E80)/-Data!E78)</f>
        <v>10.116279069767442</v>
      </c>
      <c r="E101" s="83">
        <f>IF(ISERROR((Data!F81-Data!F78-Data!F75-Data!F80)/-Data!F78),"",(Data!F81-Data!F78-Data!F75-Data!F80)/-Data!F78)</f>
        <v>11.320093457943925</v>
      </c>
      <c r="F101" s="83">
        <f>IF(ISERROR((Data!G81-Data!G78-Data!G75-Data!G80)/-Data!G78),"",(Data!G81-Data!G78-Data!G75-Data!G80)/-Data!G78)</f>
        <v>10.236929922135706</v>
      </c>
      <c r="G101" s="47"/>
      <c r="H101" s="47"/>
      <c r="I101" s="47"/>
      <c r="J101" s="17" t="s">
        <v>346</v>
      </c>
      <c r="K101" s="47"/>
      <c r="L101" s="47"/>
      <c r="M101" s="47"/>
    </row>
    <row r="102" spans="2:13" ht="12.75" customHeight="1">
      <c r="B102" s="109"/>
      <c r="C102" s="109"/>
      <c r="D102" s="109"/>
      <c r="E102" s="109"/>
      <c r="F102" s="109"/>
      <c r="G102" s="47"/>
      <c r="H102" s="47"/>
      <c r="I102" s="47"/>
      <c r="J102" s="47"/>
      <c r="K102" s="47"/>
      <c r="L102" s="47"/>
      <c r="M102" s="47"/>
    </row>
    <row r="103" spans="1:19" ht="12.75" customHeight="1">
      <c r="A103" s="109" t="s">
        <v>450</v>
      </c>
      <c r="B103" s="109"/>
      <c r="C103" s="109"/>
      <c r="D103" s="109"/>
      <c r="E103" s="109"/>
      <c r="F103" s="109"/>
      <c r="G103" s="47"/>
      <c r="H103" s="47"/>
      <c r="I103" s="47"/>
      <c r="J103" s="47"/>
      <c r="K103" s="47"/>
      <c r="M103" s="47"/>
      <c r="N103" s="47"/>
      <c r="O103" s="47"/>
      <c r="P103" s="47"/>
      <c r="Q103" s="47"/>
      <c r="R103" s="47"/>
      <c r="S103" s="47"/>
    </row>
    <row r="104" spans="1:19" ht="12.75" customHeight="1">
      <c r="A104" s="81" t="s">
        <v>103</v>
      </c>
      <c r="B104" s="102"/>
      <c r="C104" s="102"/>
      <c r="D104" s="102"/>
      <c r="E104" s="102"/>
      <c r="F104" s="102"/>
      <c r="G104" s="47"/>
      <c r="H104" s="47"/>
      <c r="I104" s="47"/>
      <c r="J104" s="47"/>
      <c r="K104" s="47"/>
      <c r="L104" s="47"/>
      <c r="M104" s="47"/>
      <c r="N104" s="47"/>
      <c r="O104" s="47"/>
      <c r="P104" s="47"/>
      <c r="Q104" s="47"/>
      <c r="R104" s="47"/>
      <c r="S104" s="47"/>
    </row>
    <row r="105" spans="1:18" ht="12.75" customHeight="1">
      <c r="A105" s="81" t="s">
        <v>104</v>
      </c>
      <c r="B105" s="106">
        <f>IF(ISERROR(1.2*(Data!C24-Data!C44)/Data!C33+1.4*(Data!C54/Data!C33)+3.3*((Data!C81-Data!C78)/Data!C33)+0.6*((Data!C145*Data!C148)/Data!C50)+1*(Data!C65/Data!C33)),"",1.2*(Data!C24-Data!C44)/Data!C33+1.4*(Data!C54/Data!C33)+3.3*((Data!C81-Data!C78)/Data!C33)+0.6*((Data!C145*Data!C148)/Data!C50)+1*(Data!C65/Data!C33))</f>
        <v>5.052644157220007</v>
      </c>
      <c r="C105" s="106">
        <f>IF(ISERROR(1.2*(Data!D24-Data!D44)/Data!D33+1.4*(Data!D54/Data!D33)+3.3*((Data!D81-Data!D78)/Data!D33)+0.6*((Data!D145*Data!D148)/Data!D50)+1*(Data!D65/Data!D33)),"",1.2*(Data!D24-Data!D44)/Data!D33+1.4*(Data!D54/Data!D33)+3.3*((Data!D81-Data!D78)/Data!D33)+0.6*((Data!D145*Data!D148)/Data!D50)+1*(Data!D65/Data!D33))</f>
        <v>5.447031567604849</v>
      </c>
      <c r="D105" s="106">
        <f>IF(ISERROR(1.2*(Data!E24-Data!E44)/Data!E33+1.4*(Data!E54/Data!E33)+3.3*((Data!E81-Data!E78)/Data!E33)+0.6*((Data!E145*Data!E148)/Data!E50)+1*(Data!E65/Data!E33)),"",1.2*(Data!E24-Data!E44)/Data!E33+1.4*(Data!E54/Data!E33)+3.3*((Data!E81-Data!E78)/Data!E33)+0.6*((Data!E145*Data!E148)/Data!E50)+1*(Data!E65/Data!E33))</f>
        <v>3.3421854094601704</v>
      </c>
      <c r="E105" s="106">
        <f>IF(ISERROR(1.2*(Data!F24-Data!F44)/Data!F33+1.4*(Data!F54/Data!F33)+3.3*((Data!F81-Data!F78)/Data!F33)+0.6*((Data!F145*Data!F148)/Data!F50)+1*(Data!F65/Data!F33)),"",1.2*(Data!F24-Data!F44)/Data!F33+1.4*(Data!F54/Data!F33)+3.3*((Data!F81-Data!F78)/Data!F33)+0.6*((Data!F145*Data!F148)/Data!F50)+1*(Data!F65/Data!F33))</f>
        <v>3.285539801370355</v>
      </c>
      <c r="F105" s="106">
        <f>IF(ISERROR(1.2*(Data!G24-Data!G44)/Data!G33+1.4*(Data!G54/Data!G33)+3.3*((Data!G81-Data!G78)/Data!G33)+0.6*((Data!G145*Data!G148)/Data!G50)+1*(Data!G65/Data!G33)),"",1.2*(Data!G24-Data!G44)/Data!G33+1.4*(Data!G54/Data!G33)+3.3*((Data!G81-Data!G78)/Data!G33)+0.6*((Data!G145*Data!G148)/Data!G50)+1*(Data!G65/Data!G33))</f>
        <v>3.333632902847987</v>
      </c>
      <c r="J105" s="17" t="s">
        <v>347</v>
      </c>
      <c r="N105" s="47"/>
      <c r="P105" s="47"/>
      <c r="R105" s="47"/>
    </row>
    <row r="106" spans="1:19" ht="12.75" customHeight="1">
      <c r="A106" s="81" t="s">
        <v>106</v>
      </c>
      <c r="B106" s="110">
        <f>IF(ISERROR(NORMSDIST(1-B105)),"",NORMSDIST(1-B105))</f>
        <v>2.5320999835483515E-05</v>
      </c>
      <c r="C106" s="110">
        <f>IF(ISERROR(NORMSDIST(1-C105)),"",NORMSDIST(1-C105))</f>
        <v>4.353252365456113E-06</v>
      </c>
      <c r="D106" s="110">
        <f>IF(ISERROR(NORMSDIST(1-D105)),"",NORMSDIST(1-D105))</f>
        <v>0.009585594217631818</v>
      </c>
      <c r="E106" s="110">
        <f>IF(ISERROR(NORMSDIST(1-E105)),"",NORMSDIST(1-E105))</f>
        <v>0.011140597699576307</v>
      </c>
      <c r="F106" s="110">
        <f>IF(ISERROR(NORMSDIST(1-F105)),"",NORMSDIST(1-F105))</f>
        <v>0.009807476094936419</v>
      </c>
      <c r="J106" s="17" t="s">
        <v>348</v>
      </c>
      <c r="N106" s="47"/>
      <c r="O106" s="47"/>
      <c r="P106" s="47"/>
      <c r="Q106" s="47"/>
      <c r="R106" s="47"/>
      <c r="S106" s="47"/>
    </row>
    <row r="107" spans="1:13" ht="12.75" customHeight="1">
      <c r="A107" s="81" t="s">
        <v>105</v>
      </c>
      <c r="B107" s="110"/>
      <c r="C107" s="110"/>
      <c r="D107" s="110"/>
      <c r="E107" s="110"/>
      <c r="F107" s="110"/>
      <c r="G107" s="47"/>
      <c r="H107" s="47"/>
      <c r="I107" s="47"/>
      <c r="J107" s="47"/>
      <c r="K107" s="47"/>
      <c r="L107" s="47"/>
      <c r="M107" s="47"/>
    </row>
    <row r="108" spans="1:13" ht="12.75" customHeight="1">
      <c r="A108" s="81" t="s">
        <v>102</v>
      </c>
      <c r="B108" s="106">
        <f>IF(ISERROR(-4.84+0.92*((Data!C18/Data!C65)/(Data!B18/Data!B65))+0.528*((Data!B67/Data!B65)/(Data!C67/Data!C65))+0.404*(((Data!C28+Data!C29+Data!C31+Data!C32)/Data!C33)/((Data!B28+Data!B29+Data!B31+Data!B32)/Data!B33))+0.892*(Data!C65/Data!B65)+0.115*((Data!B98/(Data!B26+Data!B27+Data!B98))/(Data!C98/(Data!C26+Data!C27+Data!C98)))-0.172*((-Data!C68/Data!C65)/(-Data!B68/Data!B65))-0.327*(((Data!C44+Data!C45)/Data!C60)/((Data!B44+Data!B45)/Data!B60))+4.67*((Data!C81+Data!C82-Data!C113)/Data!C33)),"",-4.84+0.92*((Data!C18/Data!C65)/(Data!B18/Data!B65))+0.528*((Data!B67/Data!B65)/(Data!C67/Data!C65))+0.404*(((Data!C28+Data!C29+Data!C31+Data!C32)/Data!C33)/((Data!B28+Data!B29+Data!B31+Data!B32)/Data!B33))+0.892*(Data!C65/Data!B65)+0.115*((Data!B98/(Data!B26+Data!B27+Data!B98))/(Data!C98/(Data!C26+Data!C27+Data!C98)))-0.172*((-Data!C68/Data!C65)/(-Data!B68/Data!B65))-0.327*(((Data!C44+Data!C45)/Data!C60)/((Data!B44+Data!B45)/Data!B60))+4.67*((Data!C81+Data!C82-Data!C113)/Data!C33))</f>
        <v>-2.732917766439212</v>
      </c>
      <c r="C108" s="106">
        <f>IF(ISERROR(-4.84+0.92*((Data!D18/Data!D65)/(Data!C18/Data!C65))+0.528*((Data!C67/Data!C65)/(Data!D67/Data!D65))+0.404*(((Data!D28+Data!D29+Data!D31+Data!D32)/Data!D33)/((Data!C28+Data!C29+Data!C31+Data!C32)/Data!C33))+0.892*(Data!D65/Data!C65)+0.115*((Data!C98/(Data!C26+Data!C27+Data!C98))/(Data!D98/(Data!D26+Data!D27+Data!D98)))-0.172*((-Data!D68/Data!D65)/(-Data!C68/Data!C65))-0.327*(((Data!D44+Data!D45)/Data!D60)/((Data!C44+Data!C45)/Data!C60))+4.67*((Data!D81+Data!D82-Data!D113)/Data!D33)),"",-4.84+0.92*((Data!D18/Data!D65)/(Data!C18/Data!C65))+0.528*((Data!C67/Data!C65)/(Data!D67/Data!D65))+0.404*(((Data!D28+Data!D29+Data!D31+Data!D32)/Data!D33)/((Data!C28+Data!C29+Data!C31+Data!C32)/Data!C33))+0.892*(Data!D65/Data!C65)+0.115*((Data!C98/(Data!C26+Data!C27+Data!C98))/(Data!D98/(Data!D26+Data!D27+Data!D98)))-0.172*((-Data!D68/Data!D65)/(-Data!C68/Data!C65))-0.327*(((Data!D44+Data!D45)/Data!D60)/((Data!C44+Data!C45)/Data!C60))+4.67*((Data!D81+Data!D82-Data!D113)/Data!D33))</f>
        <v>-2.587390871103368</v>
      </c>
      <c r="D108" s="106">
        <f>IF(ISERROR(-4.84+0.92*((Data!E18/Data!E65)/(Data!D18/Data!D65))+0.528*((Data!D67/Data!D65)/(Data!E67/Data!E65))+0.404*(((Data!E28+Data!E29+Data!E31+Data!E32)/Data!E33)/((Data!D28+Data!D29+Data!D31+Data!D32)/Data!D33))+0.892*(Data!E65/Data!D65)+0.115*((Data!D98/(Data!D26+Data!D27+Data!D98))/(Data!E98/(Data!E26+Data!E27+Data!E98)))-0.172*((-Data!E68/Data!E65)/(-Data!D68/Data!D65))-0.327*(((Data!E44+Data!E45)/Data!E60)/((Data!D44+Data!D45)/Data!D60))+4.67*((Data!E81+Data!E82-Data!E113)/Data!E33)),"",-4.84+0.92*((Data!E18/Data!E65)/(Data!D18/Data!D65))+0.528*((Data!D67/Data!D65)/(Data!E67/Data!E65))+0.404*(((Data!E28+Data!E29+Data!E31+Data!E32)/Data!E33)/((Data!D28+Data!D29+Data!D31+Data!D32)/Data!D33))+0.892*(Data!E65/Data!D65)+0.115*((Data!D98/(Data!D26+Data!D27+Data!D98))/(Data!E98/(Data!E26+Data!E27+Data!E98)))-0.172*((-Data!E68/Data!E65)/(-Data!D68/Data!D65))-0.327*(((Data!E44+Data!E45)/Data!E60)/((Data!D44+Data!D45)/Data!D60))+4.67*((Data!E81+Data!E82-Data!E113)/Data!E33))</f>
        <v>-2.306909772108535</v>
      </c>
      <c r="E108" s="106">
        <f>IF(ISERROR(-4.84+0.92*((Data!F18/Data!F65)/(Data!E18/Data!E65))+0.528*((Data!E67/Data!E65)/(Data!F67/Data!F65))+0.404*(((Data!F28+Data!F29+Data!F31+Data!F32)/Data!F33)/((Data!E28+Data!E29+Data!E31+Data!E32)/Data!E33))+0.892*(Data!F65/Data!E65)+0.115*((Data!E98/(Data!E26+Data!E27+Data!E98))/(Data!F98/(Data!F26+Data!F27+Data!F98)))-0.172*((-Data!F68/Data!F65)/(-Data!E68/Data!E65))-0.327*(((Data!F44+Data!F45)/Data!F60)/((Data!E44+Data!E45)/Data!E60))+4.67*((Data!F81+Data!F82-Data!F113)/Data!F33)),"",-4.84+0.92*((Data!F18/Data!F65)/(Data!E18/Data!E65))+0.528*((Data!E67/Data!E65)/(Data!F67/Data!F65))+0.404*(((Data!F28+Data!F29+Data!F31+Data!F32)/Data!F33)/((Data!E28+Data!E29+Data!E31+Data!E32)/Data!E33))+0.892*(Data!F65/Data!E65)+0.115*((Data!E98/(Data!E26+Data!E27+Data!E98))/(Data!F98/(Data!F26+Data!F27+Data!F98)))-0.172*((-Data!F68/Data!F65)/(-Data!E68/Data!E65))-0.327*(((Data!F44+Data!F45)/Data!F60)/((Data!E44+Data!E45)/Data!E60))+4.67*((Data!F81+Data!F82-Data!F113)/Data!F33))</f>
        <v>-2.542051808475216</v>
      </c>
      <c r="F108" s="106">
        <f>IF(ISERROR(-4.84+0.92*((Data!G18/Data!G65)/(Data!F18/Data!F65))+0.528*((Data!F67/Data!F65)/(Data!G67/Data!G65))+0.404*(((Data!G28+Data!G29+Data!G31+Data!G32)/Data!G33)/((Data!F28+Data!F29+Data!F31+Data!F32)/Data!F33))+0.892*(Data!G65/Data!F65)+0.115*((Data!F98/(Data!F26+Data!F27+Data!F98))/(Data!G98/(Data!G26+Data!G27+Data!G98)))-0.172*((-Data!G68/Data!G65)/(-Data!F68/Data!F65))-0.327*(((Data!G44+Data!G45)/Data!G60)/((Data!F44+Data!F45)/Data!F60))+4.67*((Data!G81+Data!G82-Data!G113)/Data!G33)),"",-4.84+0.92*((Data!G18/Data!G65)/(Data!F18/Data!F65))+0.528*((Data!F67/Data!F65)/(Data!G67/Data!G65))+0.404*(((Data!G28+Data!G29+Data!G31+Data!G32)/Data!G33)/((Data!F28+Data!F29+Data!F31+Data!F32)/Data!F33))+0.892*(Data!G65/Data!F65)+0.115*((Data!F98/(Data!F26+Data!F27+Data!F98))/(Data!G98/(Data!G26+Data!G27+Data!G98)))-0.172*((-Data!G68/Data!G65)/(-Data!F68/Data!F65))-0.327*(((Data!G44+Data!G45)/Data!G60)/((Data!F44+Data!F45)/Data!F60))+4.67*((Data!G81+Data!G82-Data!G113)/Data!G33))</f>
        <v>-2.6070913726721963</v>
      </c>
      <c r="G108" s="47"/>
      <c r="H108" s="47"/>
      <c r="I108" s="47"/>
      <c r="J108" s="47" t="s">
        <v>349</v>
      </c>
      <c r="K108" s="47"/>
      <c r="L108" s="47"/>
      <c r="M108" s="47"/>
    </row>
    <row r="109" spans="1:13" ht="12.75" customHeight="1">
      <c r="A109" s="81" t="s">
        <v>107</v>
      </c>
      <c r="B109" s="110">
        <f>IF(ISERROR(NORMSDIST(B108)),"",NORMSDIST(B108))</f>
        <v>0.0031388001761178718</v>
      </c>
      <c r="C109" s="110">
        <f>IF(ISERROR(NORMSDIST(C108)),"",NORMSDIST(C108))</f>
        <v>0.00483529114015948</v>
      </c>
      <c r="D109" s="110">
        <f>IF(ISERROR(NORMSDIST(D108)),"",NORMSDIST(D108))</f>
        <v>0.010529925322639988</v>
      </c>
      <c r="E109" s="110">
        <f>IF(ISERROR(NORMSDIST(E108)),"",NORMSDIST(E108))</f>
        <v>0.005510191852451346</v>
      </c>
      <c r="F109" s="110">
        <f>IF(ISERROR(NORMSDIST(F108)),"",NORMSDIST(F108))</f>
        <v>0.004565749461627671</v>
      </c>
      <c r="G109" s="47"/>
      <c r="H109" s="47"/>
      <c r="I109" s="47"/>
      <c r="J109" s="47" t="s">
        <v>350</v>
      </c>
      <c r="K109" s="47"/>
      <c r="L109" s="47"/>
      <c r="M109" s="47"/>
    </row>
    <row r="110" spans="2:19" ht="12.75" customHeight="1">
      <c r="B110" s="109"/>
      <c r="C110" s="109"/>
      <c r="D110" s="109"/>
      <c r="E110" s="109"/>
      <c r="F110" s="109"/>
      <c r="G110" s="47"/>
      <c r="H110" s="47"/>
      <c r="I110" s="47"/>
      <c r="J110" s="47"/>
      <c r="K110" s="47"/>
      <c r="L110" s="47"/>
      <c r="M110" s="47"/>
      <c r="N110" s="47"/>
      <c r="O110" s="47"/>
      <c r="P110" s="47"/>
      <c r="Q110" s="47"/>
      <c r="R110" s="47"/>
      <c r="S110" s="47"/>
    </row>
    <row r="111" spans="1:6" ht="12.75" customHeight="1">
      <c r="A111" s="109" t="s">
        <v>747</v>
      </c>
      <c r="B111" s="109"/>
      <c r="C111" s="109"/>
      <c r="D111" s="109"/>
      <c r="E111" s="109"/>
      <c r="F111" s="109"/>
    </row>
    <row r="112" spans="1:10" ht="12.75" customHeight="1">
      <c r="A112" s="81" t="s">
        <v>36</v>
      </c>
      <c r="B112" s="111">
        <f>IF(ISERROR((Data!C148+Data!C147)/Data!B148-1),"",(Data!C148+Data!C147)/Data!B148-1)</f>
        <v>-0.24421214662646606</v>
      </c>
      <c r="C112" s="111">
        <f>IF(ISERROR((Data!D148+Data!D147)/Data!C148-1),"",(Data!D148+Data!D147)/Data!C148-1)</f>
        <v>0.20408334354726332</v>
      </c>
      <c r="D112" s="111">
        <f>IF(ISERROR((Data!E148+Data!E147)/Data!D148-1),"",(Data!E148+Data!E147)/Data!D148-1)</f>
        <v>0.1354042566205278</v>
      </c>
      <c r="E112" s="111">
        <f>IF(ISERROR((Data!F148+Data!F147)/Data!E148-1),"",(Data!F148+Data!F147)/Data!E148-1)</f>
        <v>0.07953595474037334</v>
      </c>
      <c r="F112" s="111">
        <f>IF(ISERROR((Data!G148+Data!G147)/Data!F148-1),"",(Data!G148+Data!G147)/Data!F148-1)</f>
        <v>0.0880441572841626</v>
      </c>
      <c r="J112" s="17" t="s">
        <v>351</v>
      </c>
    </row>
    <row r="113" spans="1:19" ht="12.75" customHeight="1">
      <c r="A113" s="81" t="s">
        <v>236</v>
      </c>
      <c r="B113" s="83">
        <f>IF(ISERROR(Data!C148/Data!C146),"",Data!C148/Data!C146)</f>
        <v>14.766871165644172</v>
      </c>
      <c r="C113" s="83">
        <f>IF(ISERROR(Data!D148/Data!D146),"",Data!D148/Data!D146)</f>
        <v>14.755905511811022</v>
      </c>
      <c r="D113" s="83">
        <f>IF(ISERROR(Data!E148/Data!E146),"",Data!E148/Data!E146)</f>
        <v>15.604534005037783</v>
      </c>
      <c r="E113" s="83">
        <f>IF(ISERROR(Data!F148/Data!F146),"",Data!F148/Data!F146)</f>
        <v>15.897058823529411</v>
      </c>
      <c r="F113" s="83">
        <f>IF(ISERROR(Data!G148/Data!G146),"",Data!G148/Data!G146)</f>
        <v>17.28030303030303</v>
      </c>
      <c r="G113" s="47"/>
      <c r="H113" s="47"/>
      <c r="I113" s="47"/>
      <c r="J113" s="47" t="s">
        <v>352</v>
      </c>
      <c r="K113" s="47"/>
      <c r="L113" s="47"/>
      <c r="M113" s="47"/>
      <c r="N113" s="47"/>
      <c r="O113" s="47"/>
      <c r="P113" s="47"/>
      <c r="Q113" s="47"/>
      <c r="R113" s="47"/>
      <c r="S113" s="47"/>
    </row>
    <row r="114" spans="1:19" ht="12.75" customHeight="1">
      <c r="A114" s="81" t="s">
        <v>237</v>
      </c>
      <c r="B114" s="91">
        <f>IF(ISERROR(Data!C148/(Data!C146-Data!C142/Data!C145)),"",Data!C148/(Data!C146-Data!C142/Data!C145))</f>
        <v>12.872632916536096</v>
      </c>
      <c r="C114" s="91">
        <f>IF(ISERROR(Data!D148/(Data!D146-Data!D142/Data!D145)),"",Data!D148/(Data!D146-Data!D142/Data!D145))</f>
        <v>15.007435489204733</v>
      </c>
      <c r="D114" s="91">
        <f>IF(ISERROR(Data!E148/(Data!E146-Data!E142/Data!E145)),"",Data!E148/(Data!E146-Data!E142/Data!E145))</f>
        <v>14.769694704575663</v>
      </c>
      <c r="E114" s="91">
        <f>IF(ISERROR(Data!F148/(Data!F146-Data!F142/Data!F145)),"",Data!F148/(Data!F146-Data!F142/Data!F145))</f>
        <v>14.548228515736971</v>
      </c>
      <c r="F114" s="91">
        <f>IF(ISERROR(Data!G148/(Data!G146-Data!G142/Data!G145)),"",Data!G148/(Data!G146-Data!G142/Data!G145))</f>
        <v>16.5339517764591</v>
      </c>
      <c r="G114" s="47"/>
      <c r="H114" s="47"/>
      <c r="I114" s="47"/>
      <c r="J114" s="47" t="s">
        <v>353</v>
      </c>
      <c r="K114" s="47"/>
      <c r="L114" s="47"/>
      <c r="M114" s="47"/>
      <c r="N114" s="47"/>
      <c r="O114" s="47"/>
      <c r="P114" s="47"/>
      <c r="Q114" s="47"/>
      <c r="R114" s="47"/>
      <c r="S114" s="47"/>
    </row>
    <row r="115" spans="1:18" ht="12.75" customHeight="1">
      <c r="A115" s="81" t="s">
        <v>108</v>
      </c>
      <c r="B115" s="83">
        <f>IF(ISERROR((Data!C145*Data!C148)/Data!C57),"",(Data!C145*Data!C148)/Data!C57)</f>
        <v>6.1264787347373595</v>
      </c>
      <c r="C115" s="83">
        <f>IF(ISERROR((Data!D145*Data!D148)/Data!D57),"",(Data!D145*Data!D148)/Data!D57)</f>
        <v>5.207033356990774</v>
      </c>
      <c r="D115" s="83">
        <f>IF(ISERROR((Data!E145*Data!E148)/Data!E57),"",(Data!E145*Data!E148)/Data!E57)</f>
        <v>4.607008884501481</v>
      </c>
      <c r="E115" s="83">
        <f>IF(ISERROR((Data!F145*Data!F148)/Data!F57),"",(Data!F145*Data!F148)/Data!F57)</f>
        <v>4.9027192812983</v>
      </c>
      <c r="F115" s="83">
        <f>IF(ISERROR((Data!G145*Data!G148)/Data!G57),"",(Data!G145*Data!G148)/Data!G57)</f>
        <v>4.713205156800643</v>
      </c>
      <c r="G115" s="47"/>
      <c r="H115" s="47"/>
      <c r="I115" s="47"/>
      <c r="J115" s="47" t="s">
        <v>354</v>
      </c>
      <c r="K115" s="47"/>
      <c r="L115" s="47"/>
      <c r="M115" s="47"/>
      <c r="N115" s="47"/>
      <c r="P115" s="47"/>
      <c r="R115" s="47"/>
    </row>
    <row r="116" spans="1:18" ht="12.75" customHeight="1">
      <c r="A116" s="521" t="s">
        <v>748</v>
      </c>
      <c r="B116" s="582">
        <f>Data!C147</f>
        <v>1.63618802318094</v>
      </c>
      <c r="C116" s="582">
        <f>Data!D147</f>
        <v>1.7445721583652618</v>
      </c>
      <c r="D116" s="582">
        <f>Data!E147</f>
        <v>1.8824273072060682</v>
      </c>
      <c r="E116" s="582">
        <f>Data!F147</f>
        <v>2.017252396166134</v>
      </c>
      <c r="F116" s="582">
        <f>Data!G147</f>
        <v>2.1405440414507773</v>
      </c>
      <c r="G116" s="47"/>
      <c r="H116" s="47"/>
      <c r="I116" s="47"/>
      <c r="J116" s="47"/>
      <c r="K116" s="47"/>
      <c r="L116" s="47"/>
      <c r="M116" s="47"/>
      <c r="N116" s="47"/>
      <c r="P116" s="47"/>
      <c r="R116" s="47"/>
    </row>
    <row r="117" spans="1:18" ht="12.75" customHeight="1">
      <c r="A117" s="521" t="s">
        <v>749</v>
      </c>
      <c r="B117" s="111">
        <f>Data!C127/Data!C88</f>
        <v>-0.4941656942823804</v>
      </c>
      <c r="C117" s="111">
        <f>Data!D127/Data!D88</f>
        <v>-0.4594685502859065</v>
      </c>
      <c r="D117" s="111">
        <f>Data!E127/Data!E88</f>
        <v>-0.47120253164556963</v>
      </c>
      <c r="E117" s="111">
        <f>Data!F127/Data!F88</f>
        <v>-0.489989135495887</v>
      </c>
      <c r="F117" s="111">
        <f>Data!G127/Data!G88</f>
        <v>-0.5349627711233409</v>
      </c>
      <c r="G117" s="47"/>
      <c r="H117" s="47"/>
      <c r="I117" s="47"/>
      <c r="J117" s="47"/>
      <c r="K117" s="47"/>
      <c r="L117" s="47"/>
      <c r="M117" s="47"/>
      <c r="N117" s="47"/>
      <c r="P117" s="47"/>
      <c r="R117" s="47"/>
    </row>
    <row r="118" spans="1:18" ht="12.75" customHeight="1">
      <c r="A118" s="521" t="s">
        <v>750</v>
      </c>
      <c r="B118" s="111">
        <f>Data!C147/Data!C148</f>
        <v>0.03398811847072995</v>
      </c>
      <c r="C118" s="111">
        <f>Data!D147/Data!D148</f>
        <v>0.031031166103971216</v>
      </c>
      <c r="D118" s="111">
        <f>Data!E147/Data!E148</f>
        <v>0.030386235790251303</v>
      </c>
      <c r="E118" s="111">
        <f>Data!F147/Data!F148</f>
        <v>0.031101640397257695</v>
      </c>
      <c r="F118" s="111">
        <f>Data!G147/Data!G148</f>
        <v>0.03128078388792601</v>
      </c>
      <c r="G118" s="47"/>
      <c r="H118" s="47"/>
      <c r="I118" s="47"/>
      <c r="J118" s="47"/>
      <c r="K118" s="47"/>
      <c r="L118" s="47"/>
      <c r="M118" s="47"/>
      <c r="N118" s="47"/>
      <c r="P118" s="47"/>
      <c r="R118" s="47"/>
    </row>
    <row r="119" spans="1:19" ht="12.75" customHeight="1">
      <c r="A119" s="80"/>
      <c r="B119" s="80"/>
      <c r="C119" s="80"/>
      <c r="D119" s="80"/>
      <c r="E119" s="80"/>
      <c r="F119" s="61"/>
      <c r="G119" s="47"/>
      <c r="H119" s="47"/>
      <c r="I119" s="47"/>
      <c r="J119" s="47"/>
      <c r="K119" s="47"/>
      <c r="L119" s="49"/>
      <c r="M119" s="51"/>
      <c r="N119" s="47"/>
      <c r="O119" s="47"/>
      <c r="P119" s="47"/>
      <c r="Q119" s="47"/>
      <c r="R119" s="47"/>
      <c r="S119" s="47"/>
    </row>
    <row r="120" spans="2:13" ht="12.75" customHeight="1" thickBot="1">
      <c r="B120" s="61"/>
      <c r="C120" s="61"/>
      <c r="D120" s="61"/>
      <c r="E120" s="61"/>
      <c r="F120" s="61"/>
      <c r="L120" s="112"/>
      <c r="M120" s="112"/>
    </row>
    <row r="121" spans="1:13" ht="12.75" customHeight="1" thickBot="1">
      <c r="A121" s="103" t="s">
        <v>34</v>
      </c>
      <c r="B121" s="104"/>
      <c r="C121" s="104"/>
      <c r="D121" s="104"/>
      <c r="E121" s="104"/>
      <c r="F121" s="105"/>
      <c r="J121" s="109" t="s">
        <v>503</v>
      </c>
      <c r="L121" s="51"/>
      <c r="M121" s="51"/>
    </row>
    <row r="122" spans="1:13" ht="12.75" customHeight="1" thickBot="1">
      <c r="A122" s="76" t="s">
        <v>19</v>
      </c>
      <c r="B122" s="77">
        <f>Data!$C$11</f>
        <v>2008</v>
      </c>
      <c r="C122" s="77">
        <f>Data!$D$11</f>
        <v>2009</v>
      </c>
      <c r="D122" s="77">
        <f>Data!$E$11</f>
        <v>2010</v>
      </c>
      <c r="E122" s="77">
        <f>Data!$F$11</f>
        <v>2011</v>
      </c>
      <c r="F122" s="77">
        <f>Data!$G$11</f>
        <v>2012</v>
      </c>
      <c r="G122" s="47"/>
      <c r="H122" s="47"/>
      <c r="I122" s="47"/>
      <c r="J122" s="47"/>
      <c r="K122" s="47"/>
      <c r="L122" s="49"/>
      <c r="M122" s="49"/>
    </row>
    <row r="123" spans="1:19" ht="12.75" customHeight="1">
      <c r="A123" s="70"/>
      <c r="B123" s="61"/>
      <c r="C123" s="61"/>
      <c r="D123" s="61"/>
      <c r="E123" s="61"/>
      <c r="F123" s="61"/>
      <c r="G123" s="47"/>
      <c r="H123" s="47"/>
      <c r="I123" s="47"/>
      <c r="J123" s="47"/>
      <c r="K123" s="47"/>
      <c r="L123" s="49"/>
      <c r="M123" s="51"/>
      <c r="N123" s="47"/>
      <c r="O123" s="47"/>
      <c r="P123" s="47"/>
      <c r="Q123" s="47"/>
      <c r="R123" s="47"/>
      <c r="S123" s="47"/>
    </row>
    <row r="124" spans="1:13" ht="12.75" customHeight="1">
      <c r="A124" s="542" t="str">
        <f>Data!A65</f>
        <v>Revenues</v>
      </c>
      <c r="B124" s="543">
        <f>IF(Data!C65/Data!C$65=0,"",Data!C65/Data!C$65)</f>
        <v>1</v>
      </c>
      <c r="C124" s="543">
        <f>IF(Data!D65/Data!D$65=0,"",Data!D65/Data!D$65)</f>
        <v>1</v>
      </c>
      <c r="D124" s="543">
        <f>IF(Data!E65/Data!E$65=0,"",Data!E65/Data!E$65)</f>
        <v>1</v>
      </c>
      <c r="E124" s="543">
        <f>IF(Data!F65/Data!F$65=0,"",Data!F65/Data!F$65)</f>
        <v>1</v>
      </c>
      <c r="F124" s="543">
        <f>IF(Data!G65/Data!G$65=0,"",Data!G65/Data!G$65)</f>
        <v>1</v>
      </c>
      <c r="G124" s="47"/>
      <c r="H124" s="47"/>
      <c r="I124" s="47"/>
      <c r="J124" s="47" t="s">
        <v>355</v>
      </c>
      <c r="K124" s="47"/>
      <c r="L124" s="112"/>
      <c r="M124" s="112"/>
    </row>
    <row r="125" spans="1:13" ht="12.75" customHeight="1">
      <c r="A125" s="81" t="str">
        <f>Data!A66</f>
        <v>&lt;Cost of goods sold&gt;</v>
      </c>
      <c r="B125" s="113">
        <f>IF(Data!C66/Data!C$65=0,"",Data!C66/Data!C$65)</f>
        <v>-0.470532473237613</v>
      </c>
      <c r="C125" s="113">
        <f>IF(Data!D66/Data!D$65=0,"",Data!D66/Data!D$65)</f>
        <v>-0.46491025166543304</v>
      </c>
      <c r="D125" s="113">
        <f>IF(Data!E66/Data!E$65=0,"",Data!E66/Data!E$65)</f>
        <v>-0.45947301082333414</v>
      </c>
      <c r="E125" s="113">
        <f>IF(Data!F66/Data!F$65=0,"",Data!F66/Data!F$65)</f>
        <v>-0.47505413208228076</v>
      </c>
      <c r="F125" s="113">
        <f>IF(Data!G66/Data!G$65=0,"",Data!G66/Data!G$65)</f>
        <v>-0.4777835460819642</v>
      </c>
      <c r="G125" s="47"/>
      <c r="H125" s="47"/>
      <c r="I125" s="47"/>
      <c r="J125" s="47"/>
      <c r="K125" s="47"/>
      <c r="L125" s="49"/>
      <c r="M125" s="49"/>
    </row>
    <row r="126" spans="1:19" ht="12.75" customHeight="1">
      <c r="A126" s="542" t="str">
        <f>Data!A67</f>
        <v>  Gross Profit</v>
      </c>
      <c r="B126" s="543">
        <f>IF(Data!C67/Data!C$65=0,"",Data!C67/Data!C$65)</f>
        <v>0.529467526762387</v>
      </c>
      <c r="C126" s="543">
        <f>IF(Data!D67/Data!D$65=0,"",Data!D67/Data!D$65)</f>
        <v>0.535089748334567</v>
      </c>
      <c r="D126" s="543">
        <f>IF(Data!E67/Data!E$65=0,"",Data!E67/Data!E$65)</f>
        <v>0.5405269891766659</v>
      </c>
      <c r="E126" s="543">
        <f>IF(Data!F67/Data!F$65=0,"",Data!F67/Data!F$65)</f>
        <v>0.5249458679177192</v>
      </c>
      <c r="F126" s="543">
        <f>IF(Data!G67/Data!G$65=0,"",Data!G67/Data!G$65)</f>
        <v>0.5222164539180358</v>
      </c>
      <c r="N126" s="47"/>
      <c r="O126" s="47"/>
      <c r="P126" s="47"/>
      <c r="Q126" s="47"/>
      <c r="R126" s="47"/>
      <c r="S126" s="47"/>
    </row>
    <row r="127" spans="1:19" ht="12.75" customHeight="1">
      <c r="A127" s="81" t="str">
        <f>Data!A68</f>
        <v>&lt;Selling, general and administrative expenses&gt;</v>
      </c>
      <c r="B127" s="113">
        <f>IF(Data!C68/Data!C$65=0,"",Data!C68/Data!C$65)</f>
        <v>-0.3670897782710226</v>
      </c>
      <c r="C127" s="113">
        <f>IF(Data!D68/Data!D$65=0,"",Data!D68/Data!D$65)</f>
        <v>-0.3475666173205033</v>
      </c>
      <c r="D127" s="113">
        <f>IF(Data!E68/Data!E$65=0,"",Data!E68/Data!E$65)</f>
        <v>-0.39444655762647396</v>
      </c>
      <c r="E127" s="113">
        <f>IF(Data!F68/Data!F$65=0,"",Data!F68/Data!F$65)</f>
        <v>-0.37809755804162154</v>
      </c>
      <c r="F127" s="113">
        <f>IF(Data!G68/Data!G$65=0,"",Data!G68/Data!G$65)</f>
        <v>-0.38126794112257983</v>
      </c>
      <c r="N127" s="47"/>
      <c r="O127" s="47"/>
      <c r="P127" s="47"/>
      <c r="Q127" s="47"/>
      <c r="R127" s="47"/>
      <c r="S127" s="47"/>
    </row>
    <row r="128" spans="1:18" ht="12.75" customHeight="1">
      <c r="A128" s="81" t="str">
        <f>Data!A69</f>
        <v>&lt;Research and development expenses&gt;</v>
      </c>
      <c r="B128" s="113">
        <f>IF(Data!C69/Data!C$65=0,"",Data!C69/Data!C$65)</f>
      </c>
      <c r="C128" s="113">
        <f>IF(Data!D69/Data!D$65=0,"",Data!D69/Data!D$65)</f>
      </c>
      <c r="D128" s="113">
        <f>IF(Data!E69/Data!E$65=0,"",Data!E69/Data!E$65)</f>
      </c>
      <c r="E128" s="113">
        <f>IF(Data!F69/Data!F$65=0,"",Data!F69/Data!F$65)</f>
      </c>
      <c r="F128" s="113">
        <f>IF(Data!G69/Data!G$65=0,"",Data!G69/Data!G$65)</f>
      </c>
      <c r="G128" s="47"/>
      <c r="H128" s="47"/>
      <c r="I128" s="47"/>
      <c r="J128" s="47"/>
      <c r="K128" s="47"/>
      <c r="L128" s="47"/>
      <c r="M128" s="47"/>
      <c r="N128" s="47"/>
      <c r="P128" s="47"/>
      <c r="R128" s="47"/>
    </row>
    <row r="129" spans="1:19" ht="12.75" customHeight="1">
      <c r="A129" s="81" t="str">
        <f>Data!A70</f>
        <v>&lt;Amortization of intangible assets&gt;</v>
      </c>
      <c r="B129" s="113">
        <f>IF(Data!C70/Data!C$65=0,"",Data!C70/Data!C$65)</f>
        <v>-0.001479734572611038</v>
      </c>
      <c r="C129" s="113">
        <f>IF(Data!D70/Data!D$65=0,"",Data!D70/Data!D$65)</f>
        <v>-0.0014572538860103627</v>
      </c>
      <c r="D129" s="113">
        <f>IF(Data!E70/Data!E$65=0,"",Data!E70/Data!E$65)</f>
        <v>-0.002022891524603202</v>
      </c>
      <c r="E129" s="113">
        <f>IF(Data!F70/Data!F$65=0,"",Data!F70/Data!F$65)</f>
        <v>-0.0019998797064838206</v>
      </c>
      <c r="F129" s="113">
        <f>IF(Data!G70/Data!G$65=0,"",Data!G70/Data!G$65)</f>
        <v>-0.0018170158187259514</v>
      </c>
      <c r="G129" s="47"/>
      <c r="H129" s="47"/>
      <c r="I129" s="47"/>
      <c r="J129" s="47"/>
      <c r="K129" s="47"/>
      <c r="L129" s="47"/>
      <c r="M129" s="47"/>
      <c r="N129" s="47"/>
      <c r="O129" s="47"/>
      <c r="P129" s="47"/>
      <c r="Q129" s="47"/>
      <c r="R129" s="47"/>
      <c r="S129" s="47"/>
    </row>
    <row r="130" spans="1:13" ht="12.75" customHeight="1">
      <c r="A130" s="81" t="str">
        <f>Data!A71</f>
        <v>&lt;Other operating expenses (1)&gt;</v>
      </c>
      <c r="B130" s="113">
        <f>IF(Data!C71/Data!C$65=0,"",Data!C71/Data!C$65)</f>
      </c>
      <c r="C130" s="113">
        <f>IF(Data!D71/Data!D$65=0,"",Data!D71/Data!D$65)</f>
      </c>
      <c r="D130" s="113">
        <f>IF(Data!E71/Data!E$65=0,"",Data!E71/Data!E$65)</f>
      </c>
      <c r="E130" s="113">
        <f>IF(Data!F71/Data!F$65=0,"",Data!F71/Data!F$65)</f>
      </c>
      <c r="F130" s="113">
        <f>IF(Data!G71/Data!G$65=0,"",Data!G71/Data!G$65)</f>
      </c>
      <c r="G130" s="47"/>
      <c r="H130" s="47"/>
      <c r="I130" s="47"/>
      <c r="J130" s="47"/>
      <c r="K130" s="47"/>
      <c r="L130" s="47"/>
      <c r="M130" s="47"/>
    </row>
    <row r="131" spans="1:13" ht="12.75" customHeight="1">
      <c r="A131" s="81" t="str">
        <f>Data!A72</f>
        <v>&lt;Other operating expenses (2)&gt;</v>
      </c>
      <c r="B131" s="113">
        <f>IF(Data!C72/Data!C$65=0,"",Data!C72/Data!C$65)</f>
      </c>
      <c r="C131" s="113">
        <f>IF(Data!D72/Data!D$65=0,"",Data!D72/Data!D$65)</f>
      </c>
      <c r="D131" s="113">
        <f>IF(Data!E72/Data!E$65=0,"",Data!E72/Data!E$65)</f>
      </c>
      <c r="E131" s="113">
        <f>IF(Data!F72/Data!F$65=0,"",Data!F72/Data!F$65)</f>
      </c>
      <c r="F131" s="113">
        <f>IF(Data!G72/Data!G$65=0,"",Data!G72/Data!G$65)</f>
      </c>
      <c r="G131" s="47"/>
      <c r="H131" s="47"/>
      <c r="I131" s="47"/>
      <c r="J131" s="47"/>
      <c r="K131" s="47"/>
      <c r="L131" s="47"/>
      <c r="M131" s="47"/>
    </row>
    <row r="132" spans="1:19" ht="12.75" customHeight="1">
      <c r="A132" s="81" t="str">
        <f>Data!A73</f>
        <v>Other operating income (1)</v>
      </c>
      <c r="B132" s="113">
        <f>IF(Data!C73/Data!C$65=0,"",Data!C73/Data!C$65)</f>
      </c>
      <c r="C132" s="113">
        <f>IF(Data!D73/Data!D$65=0,"",Data!D73/Data!D$65)</f>
      </c>
      <c r="D132" s="113">
        <f>IF(Data!E73/Data!E$65=0,"",Data!E73/Data!E$65)</f>
      </c>
      <c r="E132" s="113">
        <f>IF(Data!F73/Data!F$65=0,"",Data!F73/Data!F$65)</f>
      </c>
      <c r="F132" s="113">
        <f>IF(Data!G73/Data!G$65=0,"",Data!G73/Data!G$65)</f>
      </c>
      <c r="N132" s="47"/>
      <c r="O132" s="47"/>
      <c r="P132" s="47"/>
      <c r="Q132" s="47"/>
      <c r="R132" s="47"/>
      <c r="S132" s="47"/>
    </row>
    <row r="133" spans="1:13" ht="12.75" customHeight="1">
      <c r="A133" s="81" t="str">
        <f>Data!A74</f>
        <v>Other operating income (2)</v>
      </c>
      <c r="B133" s="113">
        <f>IF(Data!C74/Data!C$65=0,"",Data!C74/Data!C$65)</f>
      </c>
      <c r="C133" s="113">
        <f>IF(Data!D74/Data!D$65=0,"",Data!D74/Data!D$65)</f>
      </c>
      <c r="D133" s="113">
        <f>IF(Data!E74/Data!E$65=0,"",Data!E74/Data!E$65)</f>
      </c>
      <c r="E133" s="113">
        <f>IF(Data!F74/Data!F$65=0,"",Data!F74/Data!F$65)</f>
      </c>
      <c r="F133" s="113">
        <f>IF(Data!G74/Data!G$65=0,"",Data!G74/Data!G$65)</f>
      </c>
      <c r="G133" s="47"/>
      <c r="H133" s="47"/>
      <c r="I133" s="47"/>
      <c r="J133" s="47"/>
      <c r="K133" s="47"/>
      <c r="L133" s="47"/>
      <c r="M133" s="47"/>
    </row>
    <row r="134" spans="1:13" ht="12.75" customHeight="1">
      <c r="A134" s="81" t="str">
        <f>Data!A75</f>
        <v>Non-recurring operating gains &lt;losses&gt;</v>
      </c>
      <c r="B134" s="113">
        <f>IF(Data!C75/Data!C$65=0,"",Data!C75/Data!C$65)</f>
      </c>
      <c r="C134" s="113">
        <f>IF(Data!D75/Data!D$65=0,"",Data!D75/Data!D$65)</f>
      </c>
      <c r="D134" s="113">
        <f>IF(Data!E75/Data!E$65=0,"",Data!E75/Data!E$65)</f>
      </c>
      <c r="E134" s="113">
        <f>IF(Data!F75/Data!F$65=0,"",Data!F75/Data!F$65)</f>
      </c>
      <c r="F134" s="113">
        <f>IF(Data!G75/Data!G$65=0,"",Data!G75/Data!G$65)</f>
      </c>
      <c r="G134" s="47"/>
      <c r="H134" s="47"/>
      <c r="I134" s="47"/>
      <c r="J134" s="47"/>
      <c r="K134" s="47"/>
      <c r="L134" s="47"/>
      <c r="M134" s="47"/>
    </row>
    <row r="135" spans="1:19" ht="12.75" customHeight="1">
      <c r="A135" s="542" t="str">
        <f>Data!A76</f>
        <v>  Operating Profit</v>
      </c>
      <c r="B135" s="543">
        <f>IF(Data!C76/Data!C$65=0,"",Data!C76/Data!C$65)</f>
        <v>0.16089801391875333</v>
      </c>
      <c r="C135" s="543">
        <f>IF(Data!D76/Data!D$65=0,"",Data!D76/Data!D$65)</f>
        <v>0.18606587712805328</v>
      </c>
      <c r="D135" s="543">
        <f>IF(Data!E76/Data!E$65=0,"",Data!E76/Data!E$65)</f>
        <v>0.1440575400255887</v>
      </c>
      <c r="E135" s="543">
        <f>IF(Data!F76/Data!F$65=0,"",Data!F76/Data!F$65)</f>
        <v>0.14484843016961385</v>
      </c>
      <c r="F135" s="543">
        <f>IF(Data!G76/Data!G$65=0,"",Data!G76/Data!G$65)</f>
        <v>0.13913149697673</v>
      </c>
      <c r="G135" s="47"/>
      <c r="H135" s="47"/>
      <c r="I135" s="47"/>
      <c r="J135" s="47"/>
      <c r="K135" s="47"/>
      <c r="L135" s="47"/>
      <c r="M135" s="47"/>
      <c r="N135" s="47"/>
      <c r="O135" s="47"/>
      <c r="P135" s="47"/>
      <c r="Q135" s="47"/>
      <c r="R135" s="47"/>
      <c r="S135" s="47"/>
    </row>
    <row r="136" spans="1:18" ht="12.75" customHeight="1">
      <c r="A136" s="81" t="str">
        <f>Data!A77</f>
        <v>Interest income</v>
      </c>
      <c r="B136" s="113">
        <f>IF(Data!C77/Data!C$65=0,"",Data!C77/Data!C$65)</f>
        <v>0.0009479549605789461</v>
      </c>
      <c r="C136" s="113">
        <f>IF(Data!D77/Data!D$65=0,"",Data!D77/Data!D$65)</f>
        <v>0.001549777942264989</v>
      </c>
      <c r="D136" s="113">
        <f>IF(Data!E77/Data!E$65=0,"",Data!E77/Data!E$65)</f>
        <v>0.0011756976382309209</v>
      </c>
      <c r="E136" s="113">
        <f>IF(Data!F77/Data!F$65=0,"",Data!F77/Data!F$65)</f>
        <v>0.0008570913027787803</v>
      </c>
      <c r="F136" s="113">
        <f>IF(Data!G77/Data!G$65=0,"",Data!G77/Data!G$65)</f>
        <v>0.0013894826849080804</v>
      </c>
      <c r="N136" s="47"/>
      <c r="P136" s="47"/>
      <c r="R136" s="47"/>
    </row>
    <row r="137" spans="1:19" ht="12.75" customHeight="1">
      <c r="A137" s="81" t="str">
        <f>Data!A78</f>
        <v>&lt;Interest expense&gt;</v>
      </c>
      <c r="B137" s="113">
        <f>IF(Data!C78/Data!C$65=0,"",Data!C78/Data!C$65)</f>
        <v>-0.007606760537328617</v>
      </c>
      <c r="C137" s="113">
        <f>IF(Data!D78/Data!D$65=0,"",Data!D78/Data!D$65)</f>
        <v>-0.00918301258327165</v>
      </c>
      <c r="D137" s="113">
        <f>IF(Data!E78/Data!E$65=0,"",Data!E78/Data!E$65)</f>
        <v>-0.015612573048860611</v>
      </c>
      <c r="E137" s="113">
        <f>IF(Data!F78/Data!F$65=0,"",Data!F78/Data!F$65)</f>
        <v>-0.012871406231204138</v>
      </c>
      <c r="F137" s="113">
        <f>IF(Data!G78/Data!G$65=0,"",Data!G78/Data!G$65)</f>
        <v>-0.013726867403652355</v>
      </c>
      <c r="N137" s="47"/>
      <c r="O137" s="47"/>
      <c r="P137" s="47"/>
      <c r="Q137" s="47"/>
      <c r="R137" s="47"/>
      <c r="S137" s="47"/>
    </row>
    <row r="138" spans="1:13" ht="12.75" customHeight="1">
      <c r="A138" s="81" t="str">
        <f>Data!A79</f>
        <v>Income &lt;Loss&gt; from equity affiliates</v>
      </c>
      <c r="B138" s="113">
        <f>IF(Data!C79/Data!C$65=0,"",Data!C79/Data!C$65)</f>
        <v>0.008647198908695752</v>
      </c>
      <c r="C138" s="113">
        <f>IF(Data!D79/Data!D$65=0,"",Data!D79/Data!D$65)</f>
        <v>0.00844282013323464</v>
      </c>
      <c r="D138" s="113">
        <f>IF(Data!E79/Data!E$65=0,"",Data!E79/Data!E$65)</f>
        <v>0.012707908295584217</v>
      </c>
      <c r="E138" s="113">
        <f>IF(Data!F79/Data!F$65=0,"",Data!F79/Data!F$65)</f>
      </c>
      <c r="F138" s="113">
        <f>IF(Data!G79/Data!G$65=0,"",Data!G79/Data!G$65)</f>
      </c>
      <c r="G138" s="47"/>
      <c r="H138" s="47"/>
      <c r="I138" s="47"/>
      <c r="J138" s="47"/>
      <c r="K138" s="47"/>
      <c r="L138" s="47"/>
      <c r="M138" s="47"/>
    </row>
    <row r="139" spans="1:13" ht="12.75" customHeight="1">
      <c r="A139" s="81" t="str">
        <f>Data!A80</f>
        <v>Other income or gains &lt;Other expenses or losses&gt;</v>
      </c>
      <c r="B139" s="113">
        <f>IF(Data!C80/Data!C$65=0,"",Data!C80/Data!C$65)</f>
      </c>
      <c r="C139" s="113">
        <f>IF(Data!D80/Data!D$65=0,"",Data!D80/Data!D$65)</f>
      </c>
      <c r="D139" s="113">
        <f>IF(Data!E80/Data!E$65=0,"",Data!E80/Data!E$65)</f>
      </c>
      <c r="E139" s="113">
        <f>IF(Data!F80/Data!F$65=0,"",Data!F80/Data!F$65)</f>
      </c>
      <c r="F139" s="113">
        <f>IF(Data!G80/Data!G$65=0,"",Data!G80/Data!G$65)</f>
      </c>
      <c r="G139" s="47"/>
      <c r="H139" s="47"/>
      <c r="I139" s="47"/>
      <c r="J139" s="47"/>
      <c r="K139" s="47"/>
      <c r="L139" s="47"/>
      <c r="M139" s="47"/>
    </row>
    <row r="140" spans="1:6" ht="12.75" customHeight="1">
      <c r="A140" s="542" t="str">
        <f>Data!A81</f>
        <v>  Income before Tax</v>
      </c>
      <c r="B140" s="543">
        <f>IF(Data!C81/Data!C$65=0,"",Data!C81/Data!C$65)</f>
        <v>0.16288640725069942</v>
      </c>
      <c r="C140" s="543">
        <f>IF(Data!D81/Data!D$65=0,"",Data!D81/Data!D$65)</f>
        <v>0.18687546262028126</v>
      </c>
      <c r="D140" s="543">
        <f>IF(Data!E81/Data!E$65=0,"",Data!E81/Data!E$65)</f>
        <v>0.14232857291054324</v>
      </c>
      <c r="E140" s="543">
        <f>IF(Data!F81/Data!F$65=0,"",Data!F81/Data!F$65)</f>
        <v>0.1328341152411885</v>
      </c>
      <c r="F140" s="543">
        <f>IF(Data!G81/Data!G$65=0,"",Data!G81/Data!G$65)</f>
        <v>0.1267941122579857</v>
      </c>
    </row>
    <row r="141" spans="1:6" ht="12.75" customHeight="1">
      <c r="A141" s="81" t="str">
        <f>Data!A82</f>
        <v>&lt;Income tax expense&gt;</v>
      </c>
      <c r="B141" s="113">
        <f>IF(Data!C82/Data!C$65=0,"",Data!C82/Data!C$65)</f>
        <v>-0.04344408221775219</v>
      </c>
      <c r="C141" s="113">
        <f>IF(Data!D82/Data!D$65=0,"",Data!D82/Data!D$65)</f>
        <v>-0.048575129533678756</v>
      </c>
      <c r="D141" s="113">
        <f>IF(Data!E82/Data!E$65=0,"",Data!E82/Data!E$65)</f>
        <v>-0.032746637158961235</v>
      </c>
      <c r="E141" s="113">
        <f>IF(Data!F82/Data!F$65=0,"",Data!F82/Data!F$65)</f>
        <v>-0.03566702754721521</v>
      </c>
      <c r="F141" s="113">
        <f>IF(Data!G82/Data!G$65=0,"",Data!G82/Data!G$65)</f>
        <v>-0.03191229463140536</v>
      </c>
    </row>
    <row r="142" spans="1:6" ht="12.75" customHeight="1">
      <c r="A142" s="81" t="str">
        <f>Data!A83</f>
        <v>Income &lt;Loss&gt; from discontinued operations</v>
      </c>
      <c r="B142" s="113">
        <f>IF(Data!C83/Data!C$65=0,"",Data!C83/Data!C$65)</f>
      </c>
      <c r="C142" s="113">
        <f>IF(Data!D83/Data!D$65=0,"",Data!D83/Data!D$65)</f>
      </c>
      <c r="D142" s="113">
        <f>IF(Data!E83/Data!E$65=0,"",Data!E83/Data!E$65)</f>
      </c>
      <c r="E142" s="113">
        <f>IF(Data!F83/Data!F$65=0,"",Data!F83/Data!F$65)</f>
      </c>
      <c r="F142" s="113">
        <f>IF(Data!G83/Data!G$65=0,"",Data!G83/Data!G$65)</f>
      </c>
    </row>
    <row r="143" spans="1:6" ht="12.75" customHeight="1">
      <c r="A143" s="81" t="str">
        <f>Data!A84</f>
        <v>Extraordinary gains &lt;losses&gt;</v>
      </c>
      <c r="B143" s="113">
        <f>IF(Data!C84/Data!C$65=0,"",Data!C84/Data!C$65)</f>
      </c>
      <c r="C143" s="113">
        <f>IF(Data!D84/Data!D$65=0,"",Data!D84/Data!D$65)</f>
      </c>
      <c r="D143" s="113">
        <f>IF(Data!E84/Data!E$65=0,"",Data!E84/Data!E$65)</f>
      </c>
      <c r="E143" s="113">
        <f>IF(Data!F84/Data!F$65=0,"",Data!F84/Data!F$65)</f>
      </c>
      <c r="F143" s="113">
        <f>IF(Data!G84/Data!G$65=0,"",Data!G84/Data!G$65)</f>
      </c>
    </row>
    <row r="144" spans="1:6" ht="12.75" customHeight="1">
      <c r="A144" s="81" t="str">
        <f>Data!A85</f>
        <v>Changes in accounting principles</v>
      </c>
      <c r="B144" s="113">
        <f>IF(Data!C85/Data!C$65=0,"",Data!C85/Data!C$65)</f>
      </c>
      <c r="C144" s="113">
        <f>IF(Data!D85/Data!D$65=0,"",Data!D85/Data!D$65)</f>
      </c>
      <c r="D144" s="113">
        <f>IF(Data!E85/Data!E$65=0,"",Data!E85/Data!E$65)</f>
      </c>
      <c r="E144" s="113">
        <f>IF(Data!F85/Data!F$65=0,"",Data!F85/Data!F$65)</f>
      </c>
      <c r="F144" s="113">
        <f>IF(Data!G85/Data!G$65=0,"",Data!G85/Data!G$65)</f>
      </c>
    </row>
    <row r="145" spans="1:19" ht="12.75" customHeight="1">
      <c r="A145" s="542" t="str">
        <f>Data!A86</f>
        <v>  Net Income </v>
      </c>
      <c r="B145" s="543">
        <f>IF(Data!C86/Data!C$65=0,"",Data!C86/Data!C$65)</f>
        <v>0.11944232503294722</v>
      </c>
      <c r="C145" s="543">
        <f>IF(Data!D86/Data!D$65=0,"",Data!D86/Data!D$65)</f>
        <v>0.13830033308660253</v>
      </c>
      <c r="D145" s="543">
        <f>IF(Data!E86/Data!E$65=0,"",Data!E86/Data!E$65)</f>
        <v>0.10958193575158201</v>
      </c>
      <c r="E145" s="543">
        <f>IF(Data!F86/Data!F$65=0,"",Data!F86/Data!F$65)</f>
        <v>0.0971670876939733</v>
      </c>
      <c r="F145" s="543">
        <f>IF(Data!G86/Data!G$65=0,"",Data!G86/Data!G$65)</f>
        <v>0.09488181762658035</v>
      </c>
      <c r="G145" s="47"/>
      <c r="H145" s="47"/>
      <c r="I145" s="47"/>
      <c r="J145" s="47"/>
      <c r="K145" s="47"/>
      <c r="L145" s="47"/>
      <c r="M145" s="47"/>
      <c r="N145" s="47"/>
      <c r="O145" s="47"/>
      <c r="P145" s="47"/>
      <c r="Q145" s="47"/>
      <c r="R145" s="47"/>
      <c r="S145" s="47"/>
    </row>
    <row r="146" spans="1:19" ht="12.75" customHeight="1">
      <c r="A146" s="521" t="str">
        <f>Data!A87</f>
        <v>Net income attributable to noncontrolling interests</v>
      </c>
      <c r="B146" s="541">
        <f>IF(Data!C87/Data!C$65=0,"",Data!C87/Data!C$65)</f>
        <v>-0.0005549004647291392</v>
      </c>
      <c r="C146" s="541">
        <f>IF(Data!D87/Data!D$65=0,"",Data!D87/Data!D$65)</f>
        <v>-0.0007633234641006662</v>
      </c>
      <c r="D146" s="541">
        <f>IF(Data!E87/Data!E$65=0,"",Data!E87/Data!E$65)</f>
        <v>-0.0003112140807081849</v>
      </c>
      <c r="E146" s="541">
        <f>IF(Data!F87/Data!F$65=0,"",Data!F87/Data!F$65)</f>
        <v>-0.0002856971009262601</v>
      </c>
      <c r="F146" s="541">
        <f>IF(Data!G87/Data!G$65=0,"",Data!G87/Data!G$65)</f>
        <v>-0.000549685457765834</v>
      </c>
      <c r="G146" s="114"/>
      <c r="H146" s="47"/>
      <c r="I146" s="47"/>
      <c r="J146" s="47"/>
      <c r="K146" s="47"/>
      <c r="L146" s="47"/>
      <c r="M146" s="47"/>
      <c r="N146" s="47"/>
      <c r="O146" s="47"/>
      <c r="P146" s="47"/>
      <c r="Q146" s="47"/>
      <c r="R146" s="47"/>
      <c r="S146" s="47"/>
    </row>
    <row r="147" spans="1:19" ht="12.75" customHeight="1">
      <c r="A147" s="542" t="str">
        <f>Data!A88</f>
        <v>  Net Income attributable to common shareholders</v>
      </c>
      <c r="B147" s="543">
        <f>IF(Data!C88/Data!C$65=0,"",Data!C88/Data!C$65)</f>
        <v>0.11888742456821808</v>
      </c>
      <c r="C147" s="543">
        <f>IF(Data!D88/Data!D$65=0,"",Data!D88/Data!D$65)</f>
        <v>0.13753700962250184</v>
      </c>
      <c r="D147" s="543">
        <f>IF(Data!E88/Data!E$65=0,"",Data!E88/Data!E$65)</f>
        <v>0.10927072167087382</v>
      </c>
      <c r="E147" s="543">
        <f>IF(Data!F88/Data!F$65=0,"",Data!F88/Data!F$65)</f>
        <v>0.09688139059304704</v>
      </c>
      <c r="F147" s="543">
        <f>IF(Data!G88/Data!G$65=0,"",Data!G88/Data!G$65)</f>
        <v>0.09433213216881452</v>
      </c>
      <c r="G147" s="47"/>
      <c r="H147" s="47"/>
      <c r="I147" s="47"/>
      <c r="J147" s="47"/>
      <c r="K147" s="47"/>
      <c r="L147" s="47"/>
      <c r="M147" s="47"/>
      <c r="N147" s="47"/>
      <c r="O147" s="47"/>
      <c r="P147" s="47"/>
      <c r="Q147" s="47"/>
      <c r="R147" s="47"/>
      <c r="S147" s="47"/>
    </row>
    <row r="148" spans="1:6" ht="12.75" customHeight="1">
      <c r="A148" s="102"/>
      <c r="B148" s="82"/>
      <c r="C148" s="82"/>
      <c r="D148" s="82"/>
      <c r="E148" s="82"/>
      <c r="F148" s="82"/>
    </row>
    <row r="149" spans="1:6" ht="12.75" customHeight="1">
      <c r="A149" s="521" t="str">
        <f>Data!A91</f>
        <v>Other comprehensive income items</v>
      </c>
      <c r="B149" s="541">
        <f>IF(Data!C91/Data!C$65=0,"",Data!C91/Data!C$65)</f>
        <v>-0.08825229474463019</v>
      </c>
      <c r="C149" s="541">
        <f>IF(Data!D91/Data!D$65=0,"",Data!D91/Data!D$65)</f>
        <v>0.02005458919319023</v>
      </c>
      <c r="D149" s="541">
        <f>IF(Data!E91/Data!E$65=0,"",Data!E91/Data!E$65)</f>
        <v>0.002524291987966389</v>
      </c>
      <c r="E149" s="541">
        <f>IF(Data!F91/Data!F$65=0,"",Data!F91/Data!F$65)</f>
        <v>-0.03936605316973415</v>
      </c>
      <c r="F149" s="541">
        <f>IF(Data!G91/Data!G$65=0,"",Data!G91/Data!G$65)</f>
        <v>0.010779942588407745</v>
      </c>
    </row>
    <row r="150" spans="1:6" ht="12.75" customHeight="1">
      <c r="A150" s="542" t="str">
        <f>Data!A92</f>
        <v>Comprehensive Income</v>
      </c>
      <c r="B150" s="543">
        <f>IF(Data!C92/Data!C$65=0,"",Data!C92/Data!C$65)</f>
        <v>0.031190030288317034</v>
      </c>
      <c r="C150" s="543">
        <f>IF(Data!D92/Data!D$65=0,"",Data!D92/Data!D$65)</f>
        <v>0.15835492227979275</v>
      </c>
      <c r="D150" s="543">
        <f>IF(Data!E92/Data!E$65=0,"",Data!E92/Data!E$65)</f>
        <v>0.1121062277395484</v>
      </c>
      <c r="E150" s="543">
        <f>IF(Data!F92/Data!F$65=0,"",Data!F92/Data!F$65)</f>
        <v>0.057801034524239146</v>
      </c>
      <c r="F150" s="543">
        <f>IF(Data!G92/Data!G$65=0,"",Data!G92/Data!G$65)</f>
        <v>0.10566176021498809</v>
      </c>
    </row>
    <row r="151" spans="1:6" ht="12.75" customHeight="1">
      <c r="A151" s="537"/>
      <c r="B151" s="538"/>
      <c r="C151" s="538"/>
      <c r="D151" s="538"/>
      <c r="E151" s="538"/>
      <c r="F151" s="538"/>
    </row>
    <row r="152" spans="1:7" ht="12.75" customHeight="1" thickBot="1">
      <c r="A152" s="539"/>
      <c r="B152" s="540"/>
      <c r="C152" s="540"/>
      <c r="D152" s="540"/>
      <c r="E152" s="540"/>
      <c r="F152" s="540"/>
      <c r="G152" s="47"/>
    </row>
    <row r="153" spans="1:23" ht="12.75" customHeight="1" thickBot="1">
      <c r="A153" s="103" t="s">
        <v>21</v>
      </c>
      <c r="B153" s="104"/>
      <c r="C153" s="104"/>
      <c r="D153" s="104"/>
      <c r="E153" s="104"/>
      <c r="F153" s="104"/>
      <c r="G153" s="105"/>
      <c r="H153" s="47"/>
      <c r="I153" s="47"/>
      <c r="J153" s="75" t="s">
        <v>504</v>
      </c>
      <c r="K153" s="47"/>
      <c r="L153" s="47"/>
      <c r="M153" s="47"/>
      <c r="N153" s="47"/>
      <c r="O153" s="47"/>
      <c r="P153" s="47"/>
      <c r="Q153" s="47"/>
      <c r="R153" s="47"/>
      <c r="S153" s="47"/>
      <c r="T153" s="47"/>
      <c r="U153" s="47"/>
      <c r="V153" s="47"/>
      <c r="W153" s="47"/>
    </row>
    <row r="154" spans="1:23" ht="12.75" customHeight="1" thickBot="1">
      <c r="A154" s="76" t="s">
        <v>19</v>
      </c>
      <c r="B154" s="77">
        <f>Data!$C$11</f>
        <v>2008</v>
      </c>
      <c r="C154" s="77">
        <f>Data!$D$11</f>
        <v>2009</v>
      </c>
      <c r="D154" s="77">
        <f>Data!$E$11</f>
        <v>2010</v>
      </c>
      <c r="E154" s="77">
        <f>Data!$F$11</f>
        <v>2011</v>
      </c>
      <c r="F154" s="77">
        <f>Data!$G$11</f>
        <v>2012</v>
      </c>
      <c r="G154" s="77"/>
      <c r="H154" s="47"/>
      <c r="I154" s="47"/>
      <c r="J154" s="47"/>
      <c r="K154" s="47"/>
      <c r="L154" s="47"/>
      <c r="M154" s="47"/>
      <c r="N154" s="47"/>
      <c r="O154" s="47"/>
      <c r="P154" s="47"/>
      <c r="Q154" s="47"/>
      <c r="R154" s="47"/>
      <c r="S154" s="47"/>
      <c r="T154" s="47"/>
      <c r="U154" s="47"/>
      <c r="V154" s="47"/>
      <c r="W154" s="47"/>
    </row>
    <row r="155" spans="2:23" ht="12.75" customHeight="1">
      <c r="B155" s="80"/>
      <c r="C155" s="80"/>
      <c r="D155" s="80"/>
      <c r="E155" s="80"/>
      <c r="F155" s="61"/>
      <c r="G155" s="115" t="s">
        <v>459</v>
      </c>
      <c r="H155" s="47"/>
      <c r="I155" s="47"/>
      <c r="J155" s="47"/>
      <c r="K155" s="47"/>
      <c r="L155" s="47"/>
      <c r="M155" s="47"/>
      <c r="N155" s="47"/>
      <c r="O155" s="47"/>
      <c r="P155" s="47"/>
      <c r="Q155" s="47"/>
      <c r="R155" s="47"/>
      <c r="S155" s="47"/>
      <c r="T155" s="47"/>
      <c r="U155" s="47"/>
      <c r="V155" s="47"/>
      <c r="W155" s="47"/>
    </row>
    <row r="156" spans="1:7" ht="12.75" customHeight="1">
      <c r="A156" s="70"/>
      <c r="B156" s="116"/>
      <c r="C156" s="117"/>
      <c r="D156" s="117"/>
      <c r="E156" s="80"/>
      <c r="F156" s="61"/>
      <c r="G156" s="115" t="s">
        <v>460</v>
      </c>
    </row>
    <row r="157" spans="1:23" ht="12.75" customHeight="1">
      <c r="A157" s="80"/>
      <c r="B157" s="118" t="s">
        <v>361</v>
      </c>
      <c r="C157" s="119"/>
      <c r="D157" s="116"/>
      <c r="E157" s="80"/>
      <c r="F157" s="61"/>
      <c r="G157" s="115" t="s">
        <v>461</v>
      </c>
      <c r="H157" s="47"/>
      <c r="I157" s="47"/>
      <c r="J157" s="47"/>
      <c r="K157" s="47"/>
      <c r="L157" s="47"/>
      <c r="M157" s="47"/>
      <c r="N157" s="47"/>
      <c r="O157" s="47"/>
      <c r="P157" s="47"/>
      <c r="Q157" s="47"/>
      <c r="R157" s="47"/>
      <c r="S157" s="47"/>
      <c r="T157" s="47"/>
      <c r="U157" s="47"/>
      <c r="V157" s="47"/>
      <c r="W157" s="47"/>
    </row>
    <row r="158" spans="1:23" ht="12.75" customHeight="1">
      <c r="A158" s="542" t="str">
        <f>Data!A65</f>
        <v>Revenues</v>
      </c>
      <c r="B158" s="545">
        <f>IF(ISERROR(Data!C65/Data!B65-1),"",Data!C65/Data!B65-1)</f>
        <v>0.09568323453412364</v>
      </c>
      <c r="C158" s="545">
        <f>IF(ISERROR(Data!D65/Data!C65-1),"",Data!D65/Data!C65-1)</f>
        <v>-0.00043929620124394386</v>
      </c>
      <c r="D158" s="545">
        <f>IF(ISERROR(Data!E65/Data!D65-1),"",Data!E65/Data!D65-1)</f>
        <v>0.33785159141376764</v>
      </c>
      <c r="E158" s="545">
        <f>IF(ISERROR(Data!F65/Data!E65-1),"",Data!F65/Data!E65-1)</f>
        <v>0.14983229018984057</v>
      </c>
      <c r="F158" s="545">
        <f>IF(ISERROR(Data!G65/Data!F65-1),"",Data!G65/Data!F65-1)</f>
        <v>-0.015217129796703976</v>
      </c>
      <c r="G158" s="545">
        <f>IF(ISERROR((Data!G65/Data!B65)^(1/5)-1),"",(Data!G65/Data!B65)^(1/5)-1)</f>
        <v>0.10656116190668241</v>
      </c>
      <c r="H158" s="47"/>
      <c r="I158" s="47"/>
      <c r="J158" s="47" t="s">
        <v>356</v>
      </c>
      <c r="K158" s="47"/>
      <c r="L158" s="47"/>
      <c r="M158" s="47"/>
      <c r="N158" s="47"/>
      <c r="O158" s="47"/>
      <c r="P158" s="47"/>
      <c r="Q158" s="47"/>
      <c r="R158" s="47"/>
      <c r="S158" s="47"/>
      <c r="T158" s="47"/>
      <c r="U158" s="47"/>
      <c r="V158" s="47"/>
      <c r="W158" s="47"/>
    </row>
    <row r="159" spans="1:23" ht="12.75" customHeight="1">
      <c r="A159" s="81" t="str">
        <f>Data!A66</f>
        <v>&lt;Cost of goods sold&gt;</v>
      </c>
      <c r="B159" s="33">
        <f>IF(ISERROR(Data!C66/Data!B66-1),"",Data!C66/Data!B66-1)</f>
        <v>0.12822929371327207</v>
      </c>
      <c r="C159" s="33">
        <f>IF(ISERROR(Data!D66/Data!C66-1),"",Data!D66/Data!C66-1)</f>
        <v>-0.012382683897597224</v>
      </c>
      <c r="D159" s="33">
        <f>IF(ISERROR(Data!E66/Data!D66-1),"",Data!E66/Data!D66-1)</f>
        <v>0.322205084830091</v>
      </c>
      <c r="E159" s="33">
        <f>IF(ISERROR(Data!F66/Data!E66-1),"",Data!F66/Data!E66-1)</f>
        <v>0.18882408278457197</v>
      </c>
      <c r="F159" s="33">
        <f>IF(ISERROR(Data!G66/Data!F66-1),"",Data!G66/Data!F66-1)</f>
        <v>-0.009559079542936777</v>
      </c>
      <c r="G159" s="33">
        <f>IF(ISERROR((Data!G66/Data!B66)^(1/5)-1),"",(Data!G66/Data!B66)^(1/5)-1)</f>
        <v>0.11646782539628409</v>
      </c>
      <c r="H159" s="47"/>
      <c r="I159" s="47"/>
      <c r="J159" s="47" t="s">
        <v>357</v>
      </c>
      <c r="K159" s="47"/>
      <c r="L159" s="47"/>
      <c r="M159" s="47"/>
      <c r="N159" s="47"/>
      <c r="O159" s="47"/>
      <c r="P159" s="47"/>
      <c r="Q159" s="47"/>
      <c r="R159" s="47"/>
      <c r="S159" s="47"/>
      <c r="T159" s="47"/>
      <c r="U159" s="47"/>
      <c r="V159" s="47"/>
      <c r="W159" s="47"/>
    </row>
    <row r="160" spans="1:7" ht="12.75" customHeight="1">
      <c r="A160" s="542" t="str">
        <f>Data!A67</f>
        <v>  Gross Profit</v>
      </c>
      <c r="B160" s="545">
        <f>IF(ISERROR(Data!C67/Data!B67-1),"",Data!C67/Data!B67-1)</f>
        <v>0.06829632394103369</v>
      </c>
      <c r="C160" s="545">
        <f>IF(ISERROR(Data!D67/Data!C67-1),"",Data!D67/Data!C67-1)</f>
        <v>0.010174672489082992</v>
      </c>
      <c r="D160" s="545">
        <f>IF(ISERROR(Data!E67/Data!D67-1),"",Data!E67/Data!D67-1)</f>
        <v>0.3514459862534043</v>
      </c>
      <c r="E160" s="545">
        <f>IF(ISERROR(Data!F67/Data!E67-1),"",Data!F67/Data!E67-1)</f>
        <v>0.11668745801746483</v>
      </c>
      <c r="F160" s="545">
        <f>IF(ISERROR(Data!G67/Data!F67-1),"",Data!G67/Data!F67-1)</f>
        <v>-0.02033742946349293</v>
      </c>
      <c r="G160" s="545">
        <f>IF(ISERROR((Data!G67/Data!B67)^(1/5)-1),"",(Data!G67/Data!B67)^(1/5)-1)</f>
        <v>0.09794102061190024</v>
      </c>
    </row>
    <row r="161" spans="1:23" ht="12.75" customHeight="1">
      <c r="A161" s="81" t="str">
        <f>Data!A68</f>
        <v>&lt;Selling, general and administrative expenses&gt;</v>
      </c>
      <c r="B161" s="33">
        <f>IF(ISERROR(Data!C68/Data!B68-1),"",Data!C68/Data!B68-1)</f>
        <v>0.11841363764440693</v>
      </c>
      <c r="C161" s="33">
        <f>IF(ISERROR(Data!D68/Data!C68-1),"",Data!D68/Data!C68-1)</f>
        <v>-0.053599546513825036</v>
      </c>
      <c r="D161" s="33">
        <f>IF(ISERROR(Data!E68/Data!D68-1),"",Data!E68/Data!D68-1)</f>
        <v>0.5183016105417277</v>
      </c>
      <c r="E161" s="33">
        <f>IF(ISERROR(Data!F68/Data!E68-1),"",Data!F68/Data!E68-1)</f>
        <v>0.10217410362058388</v>
      </c>
      <c r="F161" s="33">
        <f>IF(ISERROR(Data!G68/Data!F68-1),"",Data!G68/Data!F68-1)</f>
        <v>-0.0069596341220918845</v>
      </c>
      <c r="G161" s="33">
        <f>IF(ISERROR((Data!G68/Data!B68)^(1/5)-1),"",(Data!G68/Data!B68)^(1/5)-1)</f>
        <v>0.1195680865281521</v>
      </c>
      <c r="H161" s="47"/>
      <c r="I161" s="47"/>
      <c r="J161" s="47"/>
      <c r="K161" s="47"/>
      <c r="L161" s="47"/>
      <c r="M161" s="47"/>
      <c r="N161" s="47"/>
      <c r="O161" s="47"/>
      <c r="P161" s="47"/>
      <c r="Q161" s="47"/>
      <c r="R161" s="47"/>
      <c r="S161" s="47"/>
      <c r="T161" s="47"/>
      <c r="U161" s="47"/>
      <c r="V161" s="47"/>
      <c r="W161" s="47"/>
    </row>
    <row r="162" spans="1:23" ht="12.75" customHeight="1">
      <c r="A162" s="81" t="str">
        <f>Data!A69</f>
        <v>&lt;Research and development expenses&gt;</v>
      </c>
      <c r="B162" s="33">
        <f>IF(ISERROR(Data!C69/Data!B69-1),"",Data!C69/Data!B69-1)</f>
      </c>
      <c r="C162" s="33">
        <f>IF(ISERROR(Data!D69/Data!C69-1),"",Data!D69/Data!C69-1)</f>
      </c>
      <c r="D162" s="33">
        <f>IF(ISERROR(Data!E69/Data!D69-1),"",Data!E69/Data!D69-1)</f>
      </c>
      <c r="E162" s="33">
        <f>IF(ISERROR(Data!F69/Data!E69-1),"",Data!F69/Data!E69-1)</f>
      </c>
      <c r="F162" s="33">
        <f>IF(ISERROR(Data!G69/Data!F69-1),"",Data!G69/Data!F69-1)</f>
      </c>
      <c r="G162" s="33">
        <f>IF(ISERROR((Data!G69/Data!B69)^(1/5)-1),"",(Data!G69/Data!B69)^(1/5)-1)</f>
      </c>
      <c r="H162" s="47"/>
      <c r="I162" s="47"/>
      <c r="J162" s="47"/>
      <c r="K162" s="47"/>
      <c r="L162" s="47"/>
      <c r="M162" s="47"/>
      <c r="N162" s="47"/>
      <c r="O162" s="47"/>
      <c r="P162" s="47"/>
      <c r="Q162" s="47"/>
      <c r="R162" s="47"/>
      <c r="S162" s="47"/>
      <c r="T162" s="47"/>
      <c r="U162" s="47"/>
      <c r="V162" s="47"/>
      <c r="W162" s="47"/>
    </row>
    <row r="163" spans="1:23" ht="12.75" customHeight="1">
      <c r="A163" s="81" t="str">
        <f>Data!A70</f>
        <v>&lt;Amortization of intangible assets&gt;</v>
      </c>
      <c r="B163" s="33">
        <f>IF(ISERROR(Data!C70/Data!B70-1),"",Data!C70/Data!B70-1)</f>
        <v>0.10344827586206895</v>
      </c>
      <c r="C163" s="33">
        <f>IF(ISERROR(Data!D70/Data!C70-1),"",Data!D70/Data!C70-1)</f>
        <v>-0.015625</v>
      </c>
      <c r="D163" s="33">
        <f>IF(ISERROR(Data!E70/Data!D70-1),"",Data!E70/Data!D70-1)</f>
        <v>0.8571428571428572</v>
      </c>
      <c r="E163" s="33">
        <f>IF(ISERROR(Data!F70/Data!E70-1),"",Data!F70/Data!E70-1)</f>
        <v>0.1367521367521367</v>
      </c>
      <c r="F163" s="33">
        <f>IF(ISERROR(Data!G70/Data!F70-1),"",Data!G70/Data!F70-1)</f>
        <v>-0.10526315789473684</v>
      </c>
      <c r="G163" s="33">
        <f>IF(ISERROR((Data!G70/Data!B70)^(1/5)-1),"",(Data!G70/Data!B70)^(1/5)-1)</f>
        <v>0.15457937079406192</v>
      </c>
      <c r="H163" s="47"/>
      <c r="I163" s="47"/>
      <c r="J163" s="47"/>
      <c r="K163" s="47"/>
      <c r="L163" s="47"/>
      <c r="M163" s="47"/>
      <c r="N163" s="47"/>
      <c r="O163" s="47"/>
      <c r="P163" s="47"/>
      <c r="Q163" s="47"/>
      <c r="R163" s="47"/>
      <c r="S163" s="47"/>
      <c r="T163" s="47"/>
      <c r="U163" s="47"/>
      <c r="V163" s="47"/>
      <c r="W163" s="47"/>
    </row>
    <row r="164" spans="1:7" ht="12.75" customHeight="1">
      <c r="A164" s="81" t="str">
        <f>Data!A71</f>
        <v>&lt;Other operating expenses (1)&gt;</v>
      </c>
      <c r="B164" s="33">
        <f>IF(ISERROR(Data!C71/Data!B71-1),"",Data!C71/Data!B71-1)</f>
      </c>
      <c r="C164" s="33">
        <f>IF(ISERROR(Data!D71/Data!C71-1),"",Data!D71/Data!C71-1)</f>
      </c>
      <c r="D164" s="33">
        <f>IF(ISERROR(Data!E71/Data!D71-1),"",Data!E71/Data!D71-1)</f>
      </c>
      <c r="E164" s="33">
        <f>IF(ISERROR(Data!F71/Data!E71-1),"",Data!F71/Data!E71-1)</f>
      </c>
      <c r="F164" s="33">
        <f>IF(ISERROR(Data!G71/Data!F71-1),"",Data!G71/Data!F71-1)</f>
      </c>
      <c r="G164" s="33">
        <f>IF(ISERROR((Data!G71/Data!B71)^(1/5)-1),"",(Data!G71/Data!B71)^(1/5)-1)</f>
      </c>
    </row>
    <row r="165" spans="1:23" ht="12.75" customHeight="1">
      <c r="A165" s="81" t="str">
        <f>Data!A72</f>
        <v>&lt;Other operating expenses (2)&gt;</v>
      </c>
      <c r="B165" s="33">
        <f>IF(ISERROR(Data!C72/Data!B72-1),"",Data!C72/Data!B72-1)</f>
      </c>
      <c r="C165" s="33">
        <f>IF(ISERROR(Data!D72/Data!C72-1),"",Data!D72/Data!C72-1)</f>
      </c>
      <c r="D165" s="33">
        <f>IF(ISERROR(Data!E72/Data!D72-1),"",Data!E72/Data!D72-1)</f>
      </c>
      <c r="E165" s="33">
        <f>IF(ISERROR(Data!F72/Data!E72-1),"",Data!F72/Data!E72-1)</f>
      </c>
      <c r="F165" s="33">
        <f>IF(ISERROR(Data!G72/Data!F72-1),"",Data!G72/Data!F72-1)</f>
      </c>
      <c r="G165" s="33">
        <f>IF(ISERROR((Data!G72/Data!B72)^(1/5)-1),"",(Data!G72/Data!B72)^(1/5)-1)</f>
      </c>
      <c r="H165" s="47"/>
      <c r="I165" s="47"/>
      <c r="J165" s="47"/>
      <c r="K165" s="47"/>
      <c r="L165" s="47"/>
      <c r="M165" s="47"/>
      <c r="N165" s="47"/>
      <c r="O165" s="47"/>
      <c r="P165" s="47"/>
      <c r="Q165" s="47"/>
      <c r="R165" s="47"/>
      <c r="S165" s="47"/>
      <c r="T165" s="47"/>
      <c r="U165" s="47"/>
      <c r="V165" s="47"/>
      <c r="W165" s="47"/>
    </row>
    <row r="166" spans="1:23" ht="12.75" customHeight="1">
      <c r="A166" s="81" t="str">
        <f>Data!A73</f>
        <v>Other operating income (1)</v>
      </c>
      <c r="B166" s="33">
        <f>IF(ISERROR(Data!C73/Data!B73-1),"",Data!C73/Data!B73-1)</f>
      </c>
      <c r="C166" s="33">
        <f>IF(ISERROR(Data!D73/Data!C73-1),"",Data!D73/Data!C73-1)</f>
      </c>
      <c r="D166" s="33">
        <f>IF(ISERROR(Data!E73/Data!D73-1),"",Data!E73/Data!D73-1)</f>
      </c>
      <c r="E166" s="33">
        <f>IF(ISERROR(Data!F73/Data!E73-1),"",Data!F73/Data!E73-1)</f>
      </c>
      <c r="F166" s="33">
        <f>IF(ISERROR(Data!G73/Data!F73-1),"",Data!G73/Data!F73-1)</f>
      </c>
      <c r="G166" s="33">
        <f>IF(ISERROR((Data!G73/Data!B73)^(1/5)-1),"",(Data!G73/Data!B73)^(1/5)-1)</f>
      </c>
      <c r="H166" s="47"/>
      <c r="I166" s="47"/>
      <c r="J166" s="47"/>
      <c r="K166" s="47"/>
      <c r="L166" s="47"/>
      <c r="M166" s="47"/>
      <c r="N166" s="47"/>
      <c r="O166" s="47"/>
      <c r="P166" s="47"/>
      <c r="Q166" s="47"/>
      <c r="R166" s="47"/>
      <c r="S166" s="47"/>
      <c r="T166" s="47"/>
      <c r="U166" s="47"/>
      <c r="V166" s="47"/>
      <c r="W166" s="47"/>
    </row>
    <row r="167" spans="1:7" ht="12.75" customHeight="1">
      <c r="A167" s="81" t="str">
        <f>Data!A74</f>
        <v>Other operating income (2)</v>
      </c>
      <c r="B167" s="33">
        <f>IF(ISERROR(Data!C74/Data!B74-1),"",Data!C74/Data!B74-1)</f>
      </c>
      <c r="C167" s="33">
        <f>IF(ISERROR(Data!D74/Data!C74-1),"",Data!D74/Data!C74-1)</f>
      </c>
      <c r="D167" s="33">
        <f>IF(ISERROR(Data!E74/Data!D74-1),"",Data!E74/Data!D74-1)</f>
      </c>
      <c r="E167" s="33">
        <f>IF(ISERROR(Data!F74/Data!E74-1),"",Data!F74/Data!E74-1)</f>
      </c>
      <c r="F167" s="33">
        <f>IF(ISERROR(Data!G74/Data!F74-1),"",Data!G74/Data!F74-1)</f>
      </c>
      <c r="G167" s="33">
        <f>IF(ISERROR((Data!G74/Data!B74)^(1/5)-1),"",(Data!G74/Data!B74)^(1/5)-1)</f>
      </c>
    </row>
    <row r="168" spans="1:23" ht="12.75" customHeight="1">
      <c r="A168" s="81" t="str">
        <f>Data!A75</f>
        <v>Non-recurring operating gains &lt;losses&gt;</v>
      </c>
      <c r="B168" s="33">
        <f>IF(ISERROR(Data!C75/Data!B75-1),"",Data!C75/Data!B75-1)</f>
      </c>
      <c r="C168" s="33">
        <f>IF(ISERROR(Data!D75/Data!C75-1),"",Data!D75/Data!C75-1)</f>
      </c>
      <c r="D168" s="33">
        <f>IF(ISERROR(Data!E75/Data!D75-1),"",Data!E75/Data!D75-1)</f>
      </c>
      <c r="E168" s="33">
        <f>IF(ISERROR(Data!F75/Data!E75-1),"",Data!F75/Data!E75-1)</f>
      </c>
      <c r="F168" s="33">
        <f>IF(ISERROR(Data!G75/Data!F75-1),"",Data!G75/Data!F75-1)</f>
      </c>
      <c r="G168" s="33">
        <f>IF(ISERROR((Data!G75/Data!B75)^(1/5)-1),"",(Data!G75/Data!B75)^(1/5)-1)</f>
      </c>
      <c r="H168" s="47"/>
      <c r="I168" s="47"/>
      <c r="J168" s="47"/>
      <c r="K168" s="47"/>
      <c r="L168" s="47"/>
      <c r="M168" s="47"/>
      <c r="N168" s="47"/>
      <c r="O168" s="47"/>
      <c r="P168" s="47"/>
      <c r="Q168" s="47"/>
      <c r="R168" s="47"/>
      <c r="S168" s="47"/>
      <c r="T168" s="47"/>
      <c r="U168" s="47"/>
      <c r="V168" s="47"/>
      <c r="W168" s="47"/>
    </row>
    <row r="169" spans="1:23" ht="12.75" customHeight="1">
      <c r="A169" s="542" t="str">
        <f>Data!A76</f>
        <v>  Operating Profit</v>
      </c>
      <c r="B169" s="545">
        <f>IF(ISERROR(Data!C76/Data!B76-1),"",Data!C76/Data!B76-1)</f>
        <v>-0.03104984683932055</v>
      </c>
      <c r="C169" s="545">
        <f>IF(ISERROR(Data!D76/Data!C76-1),"",Data!D76/Data!C76-1)</f>
        <v>0.15591320592039093</v>
      </c>
      <c r="D169" s="545">
        <f>IF(ISERROR(Data!E76/Data!D76-1),"",Data!E76/Data!D76-1)</f>
        <v>0.035803083043262074</v>
      </c>
      <c r="E169" s="545">
        <f>IF(ISERROR(Data!F76/Data!E76-1),"",Data!F76/Data!E76-1)</f>
        <v>0.15614498319731163</v>
      </c>
      <c r="F169" s="545">
        <f>IF(ISERROR(Data!G76/Data!F76-1),"",Data!G76/Data!F76-1)</f>
        <v>-0.05408491643309454</v>
      </c>
      <c r="G169" s="545">
        <f>IF(ISERROR((Data!G76/Data!B76)^(1/5)-1),"",(Data!G76/Data!B76)^(1/5)-1)</f>
        <v>0.04875407678120269</v>
      </c>
      <c r="H169" s="47"/>
      <c r="I169" s="47"/>
      <c r="J169" s="47"/>
      <c r="K169" s="47"/>
      <c r="L169" s="47"/>
      <c r="M169" s="47"/>
      <c r="N169" s="47"/>
      <c r="O169" s="47"/>
      <c r="P169" s="47"/>
      <c r="Q169" s="47"/>
      <c r="R169" s="47"/>
      <c r="S169" s="47"/>
      <c r="T169" s="47"/>
      <c r="U169" s="47"/>
      <c r="V169" s="47"/>
      <c r="W169" s="47"/>
    </row>
    <row r="170" spans="1:7" ht="12.75" customHeight="1">
      <c r="A170" s="81" t="str">
        <f>Data!A77</f>
        <v>Interest income</v>
      </c>
      <c r="B170" s="33">
        <f>IF(ISERROR(Data!C77/Data!B77-1),"",Data!C77/Data!B77-1)</f>
        <v>-0.6719999999999999</v>
      </c>
      <c r="C170" s="33">
        <f>IF(ISERROR(Data!D77/Data!C77-1),"",Data!D77/Data!C77-1)</f>
        <v>0.6341463414634145</v>
      </c>
      <c r="D170" s="33">
        <f>IF(ISERROR(Data!E77/Data!D77-1),"",Data!E77/Data!D77-1)</f>
        <v>0.014925373134328401</v>
      </c>
      <c r="E170" s="33">
        <f>IF(ISERROR(Data!F77/Data!E77-1),"",Data!F77/Data!E77-1)</f>
        <v>-0.16176470588235292</v>
      </c>
      <c r="F170" s="33">
        <f>IF(ISERROR(Data!G77/Data!F77-1),"",Data!G77/Data!F77-1)</f>
        <v>0.5964912280701755</v>
      </c>
      <c r="G170" s="33">
        <f>IF(ISERROR((Data!G77/Data!B77)^(1/5)-1),"",(Data!G77/Data!B77)^(1/5)-1)</f>
        <v>-0.06151729001535422</v>
      </c>
    </row>
    <row r="171" spans="1:23" ht="12.75" customHeight="1">
      <c r="A171" s="81" t="str">
        <f>Data!A78</f>
        <v>&lt;Interest expense&gt;</v>
      </c>
      <c r="B171" s="33">
        <f>IF(ISERROR(Data!C78/Data!B78-1),"",Data!C78/Data!B78-1)</f>
        <v>0.46875</v>
      </c>
      <c r="C171" s="33">
        <f>IF(ISERROR(Data!D78/Data!C78-1),"",Data!D78/Data!C78-1)</f>
        <v>0.20668693009118533</v>
      </c>
      <c r="D171" s="33">
        <f>IF(ISERROR(Data!E78/Data!D78-1),"",Data!E78/Data!D78-1)</f>
        <v>1.2745591939546599</v>
      </c>
      <c r="E171" s="33">
        <f>IF(ISERROR(Data!F78/Data!E78-1),"",Data!F78/Data!E78-1)</f>
        <v>-0.05204872646733116</v>
      </c>
      <c r="F171" s="33">
        <f>IF(ISERROR(Data!G78/Data!F78-1),"",Data!G78/Data!F78-1)</f>
        <v>0.050233644859813076</v>
      </c>
      <c r="G171" s="33">
        <f>IF(ISERROR((Data!G78/Data!B78)^(1/5)-1),"",(Data!G78/Data!B78)^(1/5)-1)</f>
        <v>0.320390328800497</v>
      </c>
      <c r="H171" s="47"/>
      <c r="I171" s="47"/>
      <c r="J171" s="47"/>
      <c r="K171" s="47"/>
      <c r="L171" s="47"/>
      <c r="M171" s="47"/>
      <c r="N171" s="47"/>
      <c r="O171" s="47"/>
      <c r="P171" s="47"/>
      <c r="Q171" s="47"/>
      <c r="R171" s="47"/>
      <c r="S171" s="47"/>
      <c r="T171" s="47"/>
      <c r="U171" s="47"/>
      <c r="V171" s="47"/>
      <c r="W171" s="47"/>
    </row>
    <row r="172" spans="1:23" ht="12.75" customHeight="1">
      <c r="A172" s="81" t="str">
        <f>Data!A79</f>
        <v>Income &lt;Loss&gt; from equity affiliates</v>
      </c>
      <c r="B172" s="33">
        <f>IF(ISERROR(Data!C79/Data!B79-1),"",Data!C79/Data!B79-1)</f>
        <v>-0.3321428571428572</v>
      </c>
      <c r="C172" s="33">
        <f>IF(ISERROR(Data!D79/Data!C79-1),"",Data!D79/Data!C79-1)</f>
        <v>-0.024064171122994638</v>
      </c>
      <c r="D172" s="33">
        <f>IF(ISERROR(Data!E79/Data!D79-1),"",Data!E79/Data!D79-1)</f>
        <v>1.0136986301369864</v>
      </c>
      <c r="E172" s="33">
        <f>IF(ISERROR(Data!F79/Data!E79-1),"",Data!F79/Data!E79-1)</f>
        <v>-1</v>
      </c>
      <c r="F172" s="33">
        <f>IF(ISERROR(Data!G79/Data!F79-1),"",Data!G79/Data!F79-1)</f>
      </c>
      <c r="G172" s="33">
        <f>IF(ISERROR((Data!G79/Data!B79)^(1/5)-1),"",(Data!G79/Data!B79)^(1/5)-1)</f>
        <v>-1</v>
      </c>
      <c r="H172" s="47"/>
      <c r="I172" s="47"/>
      <c r="J172" s="47"/>
      <c r="K172" s="47"/>
      <c r="L172" s="47"/>
      <c r="M172" s="47"/>
      <c r="N172" s="47"/>
      <c r="O172" s="47"/>
      <c r="P172" s="47"/>
      <c r="Q172" s="47"/>
      <c r="R172" s="47"/>
      <c r="S172" s="47"/>
      <c r="T172" s="47"/>
      <c r="U172" s="47"/>
      <c r="V172" s="47"/>
      <c r="W172" s="47"/>
    </row>
    <row r="173" spans="1:23" ht="12.75" customHeight="1">
      <c r="A173" s="81" t="str">
        <f>Data!A80</f>
        <v>Other income or gains &lt;Other expenses or losses&gt;</v>
      </c>
      <c r="B173" s="33">
        <f>IF(ISERROR(Data!C80/Data!B80-1),"",Data!C80/Data!B80-1)</f>
      </c>
      <c r="C173" s="33">
        <f>IF(ISERROR(Data!D80/Data!C80-1),"",Data!D80/Data!C80-1)</f>
      </c>
      <c r="D173" s="33">
        <f>IF(ISERROR(Data!E80/Data!D80-1),"",Data!E80/Data!D80-1)</f>
      </c>
      <c r="E173" s="33">
        <f>IF(ISERROR(Data!F80/Data!E80-1),"",Data!F80/Data!E80-1)</f>
      </c>
      <c r="F173" s="33">
        <f>IF(ISERROR(Data!G80/Data!F80-1),"",Data!G80/Data!F80-1)</f>
      </c>
      <c r="G173" s="33">
        <f>IF(ISERROR((Data!G80/Data!B80)^(1/5)-1),"",(Data!G80/Data!B80)^(1/5)-1)</f>
      </c>
      <c r="H173" s="47"/>
      <c r="I173" s="47"/>
      <c r="J173" s="47"/>
      <c r="K173" s="47"/>
      <c r="L173" s="47"/>
      <c r="M173" s="47"/>
      <c r="N173" s="47"/>
      <c r="O173" s="47"/>
      <c r="P173" s="47"/>
      <c r="Q173" s="47"/>
      <c r="R173" s="47"/>
      <c r="S173" s="47"/>
      <c r="T173" s="47"/>
      <c r="U173" s="47"/>
      <c r="V173" s="47"/>
      <c r="W173" s="47"/>
    </row>
    <row r="174" spans="1:23" ht="12.75" customHeight="1">
      <c r="A174" s="542" t="str">
        <f>Data!A81</f>
        <v>  Income before Tax</v>
      </c>
      <c r="B174" s="545">
        <f>IF(ISERROR(Data!C81/Data!B81-1),"",Data!C81/Data!B81-1)</f>
        <v>-0.07824152819573471</v>
      </c>
      <c r="C174" s="545">
        <f>IF(ISERROR(Data!D81/Data!C81-1),"",Data!D81/Data!C81-1)</f>
        <v>0.14677075940383255</v>
      </c>
      <c r="D174" s="545">
        <f>IF(ISERROR(Data!E81/Data!D81-1),"",Data!E81/Data!D81-1)</f>
        <v>0.018937987374675114</v>
      </c>
      <c r="E174" s="545">
        <f>IF(ISERROR(Data!F81/Data!E81-1),"",Data!F81/Data!E81-1)</f>
        <v>0.0731292517006803</v>
      </c>
      <c r="F174" s="545">
        <f>IF(ISERROR(Data!G81/Data!F81-1),"",Data!G81/Data!F81-1)</f>
        <v>-0.05999547203984601</v>
      </c>
      <c r="G174" s="545">
        <f>IF(ISERROR((Data!G81/Data!B81)^(1/5)-1),"",(Data!G81/Data!B81)^(1/5)-1)</f>
        <v>0.016727794653649264</v>
      </c>
      <c r="H174" s="47"/>
      <c r="I174" s="47"/>
      <c r="J174" s="47"/>
      <c r="K174" s="47"/>
      <c r="L174" s="47"/>
      <c r="M174" s="47"/>
      <c r="N174" s="47"/>
      <c r="O174" s="47"/>
      <c r="P174" s="47"/>
      <c r="Q174" s="47"/>
      <c r="R174" s="47"/>
      <c r="S174" s="47"/>
      <c r="T174" s="47"/>
      <c r="U174" s="47"/>
      <c r="V174" s="47"/>
      <c r="W174" s="47"/>
    </row>
    <row r="175" spans="1:23" ht="12.75" customHeight="1">
      <c r="A175" s="81" t="str">
        <f>Data!A82</f>
        <v>&lt;Income tax expense&gt;</v>
      </c>
      <c r="B175" s="33">
        <f>IF(ISERROR(Data!C82/Data!B82-1),"",Data!C82/Data!B82-1)</f>
        <v>-0.04764318297009629</v>
      </c>
      <c r="C175" s="33">
        <f>IF(ISERROR(Data!D82/Data!C82-1),"",Data!D82/Data!C82-1)</f>
        <v>0.11761575306013827</v>
      </c>
      <c r="D175" s="33">
        <f>IF(ISERROR(Data!E82/Data!D82-1),"",Data!E82/Data!D82-1)</f>
        <v>-0.09809523809523812</v>
      </c>
      <c r="E175" s="33">
        <f>IF(ISERROR(Data!F82/Data!E82-1),"",Data!F82/Data!E82-1)</f>
        <v>0.25237592397043285</v>
      </c>
      <c r="F175" s="33">
        <f>IF(ISERROR(Data!G82/Data!F82-1),"",Data!G82/Data!F82-1)</f>
        <v>-0.11888701517706579</v>
      </c>
      <c r="G175" s="33">
        <f>IF(ISERROR((Data!G82/Data!B82)^(1/5)-1),"",(Data!G82/Data!B82)^(1/5)-1)</f>
        <v>0.01158839901098907</v>
      </c>
      <c r="H175" s="47"/>
      <c r="I175" s="47"/>
      <c r="J175" s="47"/>
      <c r="K175" s="47"/>
      <c r="L175" s="47"/>
      <c r="M175" s="47"/>
      <c r="N175" s="47"/>
      <c r="O175" s="47"/>
      <c r="P175" s="47"/>
      <c r="Q175" s="47"/>
      <c r="R175" s="47"/>
      <c r="S175" s="47"/>
      <c r="T175" s="47"/>
      <c r="U175" s="47"/>
      <c r="V175" s="47"/>
      <c r="W175" s="47"/>
    </row>
    <row r="176" spans="1:23" ht="12.75" customHeight="1">
      <c r="A176" s="81" t="str">
        <f>Data!A83</f>
        <v>Income &lt;Loss&gt; from discontinued operations</v>
      </c>
      <c r="B176" s="33">
        <f>IF(ISERROR(Data!C83/Data!B83-1),"",Data!C83/Data!B83-1)</f>
      </c>
      <c r="C176" s="33">
        <f>IF(ISERROR(Data!D83/Data!C83-1),"",Data!D83/Data!C83-1)</f>
      </c>
      <c r="D176" s="33">
        <f>IF(ISERROR(Data!E83/Data!D83-1),"",Data!E83/Data!D83-1)</f>
      </c>
      <c r="E176" s="33">
        <f>IF(ISERROR(Data!F83/Data!E83-1),"",Data!F83/Data!E83-1)</f>
      </c>
      <c r="F176" s="33">
        <f>IF(ISERROR(Data!G83/Data!F83-1),"",Data!G83/Data!F83-1)</f>
      </c>
      <c r="G176" s="33">
        <f>IF(ISERROR((Data!G83/Data!B83)^(1/5)-1),"",(Data!G83/Data!B83)^(1/5)-1)</f>
      </c>
      <c r="H176" s="47"/>
      <c r="I176" s="47"/>
      <c r="J176" s="47"/>
      <c r="K176" s="47"/>
      <c r="L176" s="47"/>
      <c r="M176" s="47"/>
      <c r="N176" s="47"/>
      <c r="O176" s="47"/>
      <c r="P176" s="47"/>
      <c r="Q176" s="47"/>
      <c r="R176" s="47"/>
      <c r="S176" s="47"/>
      <c r="T176" s="47"/>
      <c r="U176" s="47"/>
      <c r="V176" s="47"/>
      <c r="W176" s="47"/>
    </row>
    <row r="177" spans="1:23" ht="12.75" customHeight="1">
      <c r="A177" s="81" t="str">
        <f>Data!A84</f>
        <v>Extraordinary gains &lt;losses&gt;</v>
      </c>
      <c r="B177" s="33">
        <f>IF(ISERROR(Data!C84/Data!B84-1),"",Data!C84/Data!B84-1)</f>
      </c>
      <c r="C177" s="33">
        <f>IF(ISERROR(Data!D84/Data!C84-1),"",Data!D84/Data!C84-1)</f>
      </c>
      <c r="D177" s="33">
        <f>IF(ISERROR(Data!E84/Data!D84-1),"",Data!E84/Data!D84-1)</f>
      </c>
      <c r="E177" s="33">
        <f>IF(ISERROR(Data!F84/Data!E84-1),"",Data!F84/Data!E84-1)</f>
      </c>
      <c r="F177" s="33">
        <f>IF(ISERROR(Data!G84/Data!F84-1),"",Data!G84/Data!F84-1)</f>
      </c>
      <c r="G177" s="33">
        <f>IF(ISERROR((Data!G84/Data!B84)^(1/5)-1),"",(Data!G84/Data!B84)^(1/5)-1)</f>
      </c>
      <c r="H177" s="47"/>
      <c r="I177" s="47"/>
      <c r="J177" s="47"/>
      <c r="K177" s="47"/>
      <c r="L177" s="47"/>
      <c r="M177" s="47"/>
      <c r="N177" s="47"/>
      <c r="O177" s="47"/>
      <c r="P177" s="47"/>
      <c r="Q177" s="47"/>
      <c r="R177" s="47"/>
      <c r="S177" s="47"/>
      <c r="T177" s="47"/>
      <c r="U177" s="47"/>
      <c r="V177" s="47"/>
      <c r="W177" s="47"/>
    </row>
    <row r="178" spans="1:23" ht="12.75" customHeight="1">
      <c r="A178" s="81" t="str">
        <f>Data!A85</f>
        <v>Changes in accounting principles</v>
      </c>
      <c r="B178" s="33">
        <f>IF(ISERROR(Data!C85/Data!B85-1),"",Data!C85/Data!B85-1)</f>
      </c>
      <c r="C178" s="33">
        <f>IF(ISERROR(Data!D85/Data!C85-1),"",Data!D85/Data!C85-1)</f>
      </c>
      <c r="D178" s="33">
        <f>IF(ISERROR(Data!E85/Data!D85-1),"",Data!E85/Data!D85-1)</f>
      </c>
      <c r="E178" s="33">
        <f>IF(ISERROR(Data!F85/Data!E85-1),"",Data!F85/Data!E85-1)</f>
      </c>
      <c r="F178" s="33">
        <f>IF(ISERROR(Data!G85/Data!F85-1),"",Data!G85/Data!F85-1)</f>
      </c>
      <c r="G178" s="33">
        <f>IF(ISERROR((Data!G85/Data!B85)^(1/5)-1),"",(Data!G85/Data!B85)^(1/5)-1)</f>
      </c>
      <c r="H178" s="47"/>
      <c r="I178" s="47"/>
      <c r="J178" s="47"/>
      <c r="K178" s="47"/>
      <c r="L178" s="47"/>
      <c r="M178" s="47"/>
      <c r="N178" s="47"/>
      <c r="O178" s="47"/>
      <c r="P178" s="47"/>
      <c r="Q178" s="47"/>
      <c r="R178" s="47"/>
      <c r="S178" s="47"/>
      <c r="T178" s="47"/>
      <c r="U178" s="47"/>
      <c r="V178" s="47"/>
      <c r="W178" s="47"/>
    </row>
    <row r="179" spans="1:7" ht="12.75" customHeight="1">
      <c r="A179" s="542" t="str">
        <f>Data!A86</f>
        <v>  Net Income </v>
      </c>
      <c r="B179" s="545">
        <f>IF(ISERROR(Data!C86/Data!B86-1),"",Data!C86/Data!B86-1)</f>
        <v>-0.0888888888888889</v>
      </c>
      <c r="C179" s="545">
        <f>IF(ISERROR(Data!D86/Data!C86-1),"",Data!D86/Data!C86-1)</f>
        <v>0.15737514518002316</v>
      </c>
      <c r="D179" s="545">
        <f>IF(ISERROR(Data!E86/Data!D86-1),"",Data!E86/Data!D86-1)</f>
        <v>0.06004348553269767</v>
      </c>
      <c r="E179" s="545">
        <f>IF(ISERROR(Data!F86/Data!E86-1),"",Data!F86/Data!E86-1)</f>
        <v>0.019564531397917362</v>
      </c>
      <c r="F179" s="545">
        <f>IF(ISERROR(Data!G86/Data!F86-1),"",Data!G86/Data!F86-1)</f>
        <v>-0.03837821108016093</v>
      </c>
      <c r="G179" s="545">
        <f>IF(ISERROR((Data!G86/Data!B86)^(1/5)-1),"",(Data!G86/Data!B86)^(1/5)-1)</f>
        <v>0.01849203735892968</v>
      </c>
    </row>
    <row r="180" spans="1:23" ht="12.75" customHeight="1">
      <c r="A180" s="521" t="str">
        <f>Data!A87</f>
        <v>Net income attributable to noncontrolling interests</v>
      </c>
      <c r="B180" s="544">
        <f>IF(ISERROR(Data!C87/Data!B87-1),"",Data!C87/Data!B87-1)</f>
        <v>1</v>
      </c>
      <c r="C180" s="544">
        <f>IF(ISERROR(Data!D87/Data!C87-1),"",Data!D87/Data!C87-1)</f>
        <v>0.375</v>
      </c>
      <c r="D180" s="544">
        <f>IF(ISERROR(Data!E87/Data!D87-1),"",Data!E87/Data!D87-1)</f>
        <v>-0.4545454545454546</v>
      </c>
      <c r="E180" s="544">
        <f>IF(ISERROR(Data!F87/Data!E87-1),"",Data!F87/Data!E87-1)</f>
        <v>0.05555555555555558</v>
      </c>
      <c r="F180" s="544">
        <f>IF(ISERROR(Data!G87/Data!F87-1),"",Data!G87/Data!F87-1)</f>
        <v>0.894736842105263</v>
      </c>
      <c r="G180" s="544">
        <f>IF(ISERROR((Data!G87/Data!B87)^(1/5)-1),"",(Data!G87/Data!B87)^(1/5)-1)</f>
        <v>0.2457309396155174</v>
      </c>
      <c r="H180" s="47"/>
      <c r="I180" s="47"/>
      <c r="J180" s="47"/>
      <c r="K180" s="47"/>
      <c r="L180" s="47"/>
      <c r="M180" s="47"/>
      <c r="N180" s="47"/>
      <c r="O180" s="47"/>
      <c r="P180" s="47"/>
      <c r="Q180" s="47"/>
      <c r="R180" s="47"/>
      <c r="S180" s="47"/>
      <c r="T180" s="47"/>
      <c r="U180" s="47"/>
      <c r="V180" s="47"/>
      <c r="W180" s="47"/>
    </row>
    <row r="181" spans="1:23" ht="12.75" customHeight="1">
      <c r="A181" s="542" t="str">
        <f>Data!A88</f>
        <v>  Net Income attributable to common shareholders</v>
      </c>
      <c r="B181" s="545">
        <f>IF(ISERROR(Data!C88/Data!B88-1),"",Data!C88/Data!B88-1)</f>
        <v>-0.09119830328738066</v>
      </c>
      <c r="C181" s="545">
        <f>IF(ISERROR(Data!D88/Data!C88-1),"",Data!D88/Data!C88-1)</f>
        <v>0.15635939323220538</v>
      </c>
      <c r="D181" s="545">
        <f>IF(ISERROR(Data!E88/Data!D88-1),"",Data!E88/Data!D88-1)</f>
        <v>0.06289942818701655</v>
      </c>
      <c r="E181" s="545">
        <f>IF(ISERROR(Data!F88/Data!E88-1),"",Data!F88/Data!E88-1)</f>
        <v>0.01946202531645569</v>
      </c>
      <c r="F181" s="545">
        <f>IF(ISERROR(Data!G88/Data!F88-1),"",Data!G88/Data!F88-1)</f>
        <v>-0.041129908427750994</v>
      </c>
      <c r="G181" s="545">
        <f>IF(ISERROR((Data!G88/Data!B88)^(1/5)-1),"",(Data!G88/Data!B88)^(1/5)-1)</f>
        <v>0.017740347625847308</v>
      </c>
      <c r="H181" s="47"/>
      <c r="I181" s="47"/>
      <c r="J181" s="47"/>
      <c r="K181" s="47"/>
      <c r="L181" s="47"/>
      <c r="M181" s="47"/>
      <c r="N181" s="47"/>
      <c r="O181" s="47"/>
      <c r="P181" s="47"/>
      <c r="Q181" s="47"/>
      <c r="R181" s="47"/>
      <c r="S181" s="47"/>
      <c r="T181" s="47"/>
      <c r="U181" s="47"/>
      <c r="V181" s="47"/>
      <c r="W181" s="47"/>
    </row>
    <row r="182" spans="1:23" ht="12.75" customHeight="1">
      <c r="A182" s="102"/>
      <c r="B182" s="111"/>
      <c r="C182" s="111"/>
      <c r="D182" s="111"/>
      <c r="E182" s="111"/>
      <c r="F182" s="111"/>
      <c r="G182" s="111"/>
      <c r="H182" s="47"/>
      <c r="I182" s="47"/>
      <c r="J182" s="47"/>
      <c r="K182" s="47"/>
      <c r="L182" s="47"/>
      <c r="M182" s="47"/>
      <c r="N182" s="47"/>
      <c r="O182" s="47"/>
      <c r="P182" s="47"/>
      <c r="Q182" s="47"/>
      <c r="R182" s="47"/>
      <c r="S182" s="47"/>
      <c r="T182" s="47"/>
      <c r="U182" s="47"/>
      <c r="V182" s="47"/>
      <c r="W182" s="47"/>
    </row>
    <row r="183" spans="1:23" ht="12.75" customHeight="1">
      <c r="A183" s="81" t="str">
        <f>Data!A91</f>
        <v>Other comprehensive income items</v>
      </c>
      <c r="B183" s="33">
        <f>IF(ISERROR(Data!C91/Data!B91-1),"",Data!C91/Data!B91-1)</f>
        <v>-3.9773790951638066</v>
      </c>
      <c r="C183" s="33">
        <f>IF(ISERROR(Data!D91/Data!C91-1),"",Data!D91/Data!C91-1)</f>
        <v>-1.2271417343463453</v>
      </c>
      <c r="D183" s="33">
        <f>IF(ISERROR(Data!E91/Data!D91-1),"",Data!E91/Data!D91-1)</f>
        <v>-0.831603229527105</v>
      </c>
      <c r="E183" s="33">
        <f>IF(ISERROR(Data!F91/Data!E91-1),"",Data!F91/Data!E91-1)</f>
        <v>-18.931506849315067</v>
      </c>
      <c r="F183" s="33">
        <f>IF(ISERROR(Data!G91/Data!F91-1),"",Data!G91/Data!F91-1)</f>
        <v>-1.2696715049656226</v>
      </c>
      <c r="G183" s="33">
        <f>IF(ISERROR((Data!G91/Data!B91)^(1/5)-1),"",(Data!G91/Data!B91)^(1/5)-1)</f>
        <v>-0.11246940057136134</v>
      </c>
      <c r="H183" s="47"/>
      <c r="I183" s="47"/>
      <c r="J183" s="47"/>
      <c r="K183" s="47"/>
      <c r="L183" s="47"/>
      <c r="M183" s="47"/>
      <c r="N183" s="47"/>
      <c r="O183" s="47"/>
      <c r="P183" s="47"/>
      <c r="Q183" s="47"/>
      <c r="R183" s="47"/>
      <c r="S183" s="47"/>
      <c r="T183" s="47"/>
      <c r="U183" s="47"/>
      <c r="V183" s="47"/>
      <c r="W183" s="47"/>
    </row>
    <row r="184" spans="1:23" ht="12.75" customHeight="1">
      <c r="A184" s="542" t="str">
        <f>Data!A92</f>
        <v>Comprehensive Income</v>
      </c>
      <c r="B184" s="545">
        <f>IF(ISERROR(Data!C92/Data!B92-1),"",Data!C92/Data!B92-1)</f>
        <v>-0.8059551208285385</v>
      </c>
      <c r="C184" s="545">
        <f>IF(ISERROR(Data!D92/Data!C92-1),"",Data!D92/Data!C92-1)</f>
        <v>4.0748702742772425</v>
      </c>
      <c r="D184" s="545">
        <f>IF(ISERROR(Data!E92/Data!D92-1),"",Data!E92/Data!D92-1)</f>
        <v>-0.05287759275489334</v>
      </c>
      <c r="E184" s="545">
        <f>IF(ISERROR(Data!F92/Data!E92-1),"",Data!F92/Data!E92-1)</f>
        <v>-0.40715607649599017</v>
      </c>
      <c r="F184" s="545">
        <f>IF(ISERROR(Data!G92/Data!F92-1),"",Data!G92/Data!F92-1)</f>
        <v>0.8002081165452652</v>
      </c>
      <c r="G184" s="545">
        <f>IF(ISERROR((Data!G92/Data!B92)^(1/5)-1),"",(Data!G92/Data!B92)^(1/5)-1)</f>
        <v>-0.0009222980881271603</v>
      </c>
      <c r="H184" s="47"/>
      <c r="I184" s="47"/>
      <c r="J184" s="47"/>
      <c r="K184" s="47"/>
      <c r="L184" s="47"/>
      <c r="M184" s="47"/>
      <c r="N184" s="47"/>
      <c r="O184" s="47"/>
      <c r="P184" s="47"/>
      <c r="Q184" s="47"/>
      <c r="R184" s="47"/>
      <c r="S184" s="47"/>
      <c r="T184" s="47"/>
      <c r="U184" s="47"/>
      <c r="V184" s="47"/>
      <c r="W184" s="47"/>
    </row>
    <row r="185" spans="1:23" ht="12.75" customHeight="1">
      <c r="A185" s="51"/>
      <c r="B185" s="120"/>
      <c r="C185" s="120"/>
      <c r="D185" s="120"/>
      <c r="E185" s="120"/>
      <c r="F185" s="120"/>
      <c r="G185" s="120"/>
      <c r="H185" s="47"/>
      <c r="I185" s="47"/>
      <c r="J185" s="47"/>
      <c r="K185" s="47"/>
      <c r="L185" s="47"/>
      <c r="M185" s="47"/>
      <c r="N185" s="47"/>
      <c r="O185" s="47"/>
      <c r="P185" s="47"/>
      <c r="Q185" s="47"/>
      <c r="R185" s="47"/>
      <c r="S185" s="47"/>
      <c r="T185" s="47"/>
      <c r="U185" s="47"/>
      <c r="V185" s="47"/>
      <c r="W185" s="47"/>
    </row>
    <row r="186" spans="1:23" ht="12.75" customHeight="1">
      <c r="A186" s="51"/>
      <c r="B186" s="120"/>
      <c r="C186" s="120"/>
      <c r="D186" s="120"/>
      <c r="E186" s="120"/>
      <c r="F186" s="120"/>
      <c r="G186" s="120"/>
      <c r="H186" s="47"/>
      <c r="I186" s="47"/>
      <c r="J186" s="47"/>
      <c r="K186" s="47"/>
      <c r="L186" s="47"/>
      <c r="M186" s="47"/>
      <c r="N186" s="47"/>
      <c r="O186" s="47"/>
      <c r="P186" s="47"/>
      <c r="Q186" s="47"/>
      <c r="R186" s="47"/>
      <c r="S186" s="47"/>
      <c r="T186" s="47"/>
      <c r="U186" s="47"/>
      <c r="V186" s="47"/>
      <c r="W186" s="47"/>
    </row>
    <row r="187" spans="1:23" ht="12.75" customHeight="1" thickBot="1">
      <c r="A187" s="121"/>
      <c r="B187" s="122"/>
      <c r="C187" s="122"/>
      <c r="D187" s="122"/>
      <c r="E187" s="122"/>
      <c r="F187" s="122"/>
      <c r="G187" s="120"/>
      <c r="H187" s="47"/>
      <c r="I187" s="47"/>
      <c r="J187" s="47"/>
      <c r="K187" s="47"/>
      <c r="L187" s="47"/>
      <c r="M187" s="47"/>
      <c r="N187" s="47"/>
      <c r="O187" s="47"/>
      <c r="P187" s="47"/>
      <c r="Q187" s="47"/>
      <c r="R187" s="47"/>
      <c r="S187" s="47"/>
      <c r="T187" s="47"/>
      <c r="U187" s="47"/>
      <c r="V187" s="47"/>
      <c r="W187" s="47"/>
    </row>
    <row r="188" spans="1:23" ht="12.75" customHeight="1" thickBot="1">
      <c r="A188" s="123" t="s">
        <v>20</v>
      </c>
      <c r="B188" s="124"/>
      <c r="C188" s="124"/>
      <c r="D188" s="124"/>
      <c r="E188" s="124"/>
      <c r="F188" s="125"/>
      <c r="G188" s="47"/>
      <c r="H188" s="47"/>
      <c r="I188" s="47"/>
      <c r="J188" s="75" t="s">
        <v>505</v>
      </c>
      <c r="K188" s="47"/>
      <c r="L188" s="47"/>
      <c r="M188" s="47"/>
      <c r="N188" s="47"/>
      <c r="O188" s="47"/>
      <c r="P188" s="47"/>
      <c r="Q188" s="47"/>
      <c r="R188" s="47"/>
      <c r="S188" s="47"/>
      <c r="T188" s="47"/>
      <c r="U188" s="47"/>
      <c r="V188" s="47"/>
      <c r="W188" s="47"/>
    </row>
    <row r="189" spans="1:23" ht="12.75" customHeight="1" thickBot="1">
      <c r="A189" s="76" t="s">
        <v>19</v>
      </c>
      <c r="B189" s="77">
        <f>Data!$C$11</f>
        <v>2008</v>
      </c>
      <c r="C189" s="77">
        <f>Data!$D$11</f>
        <v>2009</v>
      </c>
      <c r="D189" s="77">
        <f>Data!$E$11</f>
        <v>2010</v>
      </c>
      <c r="E189" s="77">
        <f>Data!$F$11</f>
        <v>2011</v>
      </c>
      <c r="F189" s="77">
        <f>Data!$G$11</f>
        <v>2012</v>
      </c>
      <c r="H189" s="47"/>
      <c r="I189" s="47"/>
      <c r="J189" s="47"/>
      <c r="K189" s="47"/>
      <c r="L189" s="47"/>
      <c r="M189" s="47"/>
      <c r="N189" s="47"/>
      <c r="O189" s="47"/>
      <c r="P189" s="47"/>
      <c r="Q189" s="47"/>
      <c r="R189" s="47"/>
      <c r="S189" s="47"/>
      <c r="T189" s="47"/>
      <c r="U189" s="47"/>
      <c r="V189" s="47"/>
      <c r="W189" s="47"/>
    </row>
    <row r="190" spans="2:23" ht="12.75" customHeight="1">
      <c r="B190" s="79"/>
      <c r="C190" s="79"/>
      <c r="D190" s="79"/>
      <c r="E190" s="79"/>
      <c r="F190" s="79"/>
      <c r="G190" s="47"/>
      <c r="H190" s="47"/>
      <c r="I190" s="47"/>
      <c r="J190" s="47"/>
      <c r="K190" s="47"/>
      <c r="L190" s="47"/>
      <c r="M190" s="47"/>
      <c r="N190" s="47"/>
      <c r="O190" s="47"/>
      <c r="P190" s="47"/>
      <c r="Q190" s="47"/>
      <c r="R190" s="47"/>
      <c r="S190" s="47"/>
      <c r="T190" s="47"/>
      <c r="U190" s="47"/>
      <c r="V190" s="47"/>
      <c r="W190" s="47"/>
    </row>
    <row r="191" spans="1:7" ht="12.75" customHeight="1">
      <c r="A191" s="31" t="str">
        <f>Data!A15</f>
        <v>Assets:</v>
      </c>
      <c r="B191" s="555"/>
      <c r="C191" s="147"/>
      <c r="D191" s="147"/>
      <c r="E191" s="147"/>
      <c r="F191" s="147"/>
      <c r="G191" s="47"/>
    </row>
    <row r="192" spans="1:23" ht="12.75" customHeight="1">
      <c r="A192" s="81" t="str">
        <f>Data!A16</f>
        <v>Cash and cash equivalents</v>
      </c>
      <c r="B192" s="127">
        <f>IF(Data!C16/Data!C$33=0,"",Data!C16/Data!C$33)</f>
        <v>0.057342890481746955</v>
      </c>
      <c r="C192" s="127">
        <f>IF(Data!D16/Data!D$33=0,"",Data!D16/Data!D$33)</f>
        <v>0.09895101385264003</v>
      </c>
      <c r="D192" s="127">
        <f>IF(Data!E16/Data!E$33=0,"",Data!E16/Data!E$33)</f>
        <v>0.0872008568955145</v>
      </c>
      <c r="E192" s="127">
        <f>IF(Data!F16/Data!F$33=0,"",Data!F16/Data!F$33)</f>
        <v>0.05580253011717571</v>
      </c>
      <c r="F192" s="127">
        <f>IF(Data!G16/Data!G$33=0,"",Data!G16/Data!G$33)</f>
        <v>0.08436721241190814</v>
      </c>
      <c r="G192" s="47"/>
      <c r="H192" s="47"/>
      <c r="I192" s="47"/>
      <c r="J192" s="47" t="s">
        <v>360</v>
      </c>
      <c r="K192" s="47"/>
      <c r="L192" s="47"/>
      <c r="M192" s="47"/>
      <c r="N192" s="47"/>
      <c r="O192" s="47"/>
      <c r="P192" s="47"/>
      <c r="Q192" s="47"/>
      <c r="R192" s="47"/>
      <c r="S192" s="47"/>
      <c r="T192" s="47"/>
      <c r="U192" s="47"/>
      <c r="V192" s="47"/>
      <c r="W192" s="47"/>
    </row>
    <row r="193" spans="1:23" ht="12.75" customHeight="1">
      <c r="A193" s="81" t="str">
        <f>Data!A17</f>
        <v>Marketable securities</v>
      </c>
      <c r="B193" s="127">
        <f>IF(Data!C17/Data!C$33=0,"",Data!C17/Data!C$33)</f>
        <v>0.005917652942157026</v>
      </c>
      <c r="C193" s="127">
        <f>IF(Data!D17/Data!D$33=0,"",Data!D17/Data!D$33)</f>
        <v>0.004818309576390283</v>
      </c>
      <c r="D193" s="127">
        <f>IF(Data!E17/Data!E$33=0,"",Data!E17/Data!E$33)</f>
        <v>0.006250641937992458</v>
      </c>
      <c r="E193" s="127">
        <f>IF(Data!F17/Data!F$33=0,"",Data!F17/Data!F$33)</f>
        <v>0.004912049614445268</v>
      </c>
      <c r="F193" s="127">
        <f>IF(Data!G17/Data!G$33=0,"",Data!G17/Data!G$33)</f>
        <v>0.0043141563278758805</v>
      </c>
      <c r="G193" s="47"/>
      <c r="H193" s="47"/>
      <c r="I193" s="47"/>
      <c r="J193" s="114"/>
      <c r="K193" s="114"/>
      <c r="L193" s="114"/>
      <c r="M193" s="114"/>
      <c r="N193" s="114"/>
      <c r="O193" s="47"/>
      <c r="P193" s="47"/>
      <c r="Q193" s="47"/>
      <c r="R193" s="47"/>
      <c r="S193" s="47"/>
      <c r="T193" s="47"/>
      <c r="U193" s="47"/>
      <c r="V193" s="47"/>
      <c r="W193" s="47"/>
    </row>
    <row r="194" spans="1:23" ht="12.75" customHeight="1">
      <c r="A194" s="81" t="str">
        <f>Data!A18</f>
        <v>Accounts and notes receivable—net</v>
      </c>
      <c r="B194" s="127">
        <f>IF(Data!C18/Data!C$33=0,"",Data!C18/Data!C$33)</f>
        <v>0.13010501750291714</v>
      </c>
      <c r="C194" s="127">
        <f>IF(Data!D18/Data!D$33=0,"",Data!D18/Data!D$33)</f>
        <v>0.11604095563139932</v>
      </c>
      <c r="D194" s="127">
        <f>IF(Data!E18/Data!E$33=0,"",Data!E18/Data!E$33)</f>
        <v>0.09277654688715097</v>
      </c>
      <c r="E194" s="127">
        <f>IF(Data!F18/Data!F$33=0,"",Data!F18/Data!F$33)</f>
        <v>0.0948382316621388</v>
      </c>
      <c r="F194" s="127">
        <f>IF(Data!G18/Data!G$33=0,"",Data!G18/Data!G$33)</f>
        <v>0.09433532516948472</v>
      </c>
      <c r="H194" s="47"/>
      <c r="I194" s="47"/>
      <c r="J194" s="114"/>
      <c r="K194" s="114"/>
      <c r="L194" s="114"/>
      <c r="M194" s="114"/>
      <c r="N194" s="114"/>
      <c r="O194" s="47"/>
      <c r="P194" s="47"/>
      <c r="Q194" s="47"/>
      <c r="R194" s="47"/>
      <c r="S194" s="47"/>
      <c r="T194" s="47"/>
      <c r="U194" s="47"/>
      <c r="V194" s="47"/>
      <c r="W194" s="47"/>
    </row>
    <row r="195" spans="1:14" ht="12.75" customHeight="1">
      <c r="A195" s="81" t="str">
        <f>Data!A19</f>
        <v>Inventories</v>
      </c>
      <c r="B195" s="127">
        <f>IF(Data!C19/Data!C$33=0,"",Data!C19/Data!C$33)</f>
        <v>0.07006723342779352</v>
      </c>
      <c r="C195" s="127">
        <f>IF(Data!D19/Data!D$33=0,"",Data!D19/Data!D$33)</f>
        <v>0.06569965870307168</v>
      </c>
      <c r="D195" s="127">
        <f>IF(Data!E19/Data!E$33=0,"",Data!E19/Data!E$33)</f>
        <v>0.049476912241574106</v>
      </c>
      <c r="E195" s="127">
        <f>IF(Data!F19/Data!F$33=0,"",Data!F19/Data!F$33)</f>
        <v>0.05250953596224033</v>
      </c>
      <c r="F195" s="127">
        <f>IF(Data!G19/Data!G$33=0,"",Data!G19/Data!G$33)</f>
        <v>0.04797824164634636</v>
      </c>
      <c r="G195" s="47"/>
      <c r="J195" s="128"/>
      <c r="K195" s="128"/>
      <c r="L195" s="128"/>
      <c r="M195" s="128"/>
      <c r="N195" s="128"/>
    </row>
    <row r="196" spans="1:23" ht="12.75" customHeight="1">
      <c r="A196" s="81" t="str">
        <f>Data!A20</f>
        <v>Prepaid expenses and other current assets</v>
      </c>
      <c r="B196" s="127">
        <f>IF(Data!C20/Data!C$33=0,"",Data!C20/Data!C$33)</f>
        <v>0.036783908429182645</v>
      </c>
      <c r="C196" s="127">
        <f>IF(Data!D20/Data!D$33=0,"",Data!D20/Data!D$33)</f>
        <v>0.029963862678177074</v>
      </c>
      <c r="D196" s="127">
        <f>IF(Data!E20/Data!E$33=0,"",Data!E20/Data!E$33)</f>
        <v>0.02208266694056021</v>
      </c>
      <c r="E196" s="127">
        <f>IF(Data!F20/Data!F$33=0,"",Data!F20/Data!F$33)</f>
        <v>0.03124228204494937</v>
      </c>
      <c r="F196" s="127">
        <f>IF(Data!G20/Data!G$33=0,"",Data!G20/Data!G$33)</f>
        <v>0.019815643505988908</v>
      </c>
      <c r="G196" s="47"/>
      <c r="H196" s="47"/>
      <c r="I196" s="47"/>
      <c r="J196" s="108"/>
      <c r="K196" s="108"/>
      <c r="L196" s="108"/>
      <c r="M196" s="47"/>
      <c r="N196" s="47"/>
      <c r="O196" s="47"/>
      <c r="P196" s="47"/>
      <c r="Q196" s="47"/>
      <c r="R196" s="47"/>
      <c r="S196" s="47"/>
      <c r="T196" s="47"/>
      <c r="U196" s="47"/>
      <c r="V196" s="47"/>
      <c r="W196" s="47"/>
    </row>
    <row r="197" spans="1:23" ht="12.75" customHeight="1">
      <c r="A197" s="81" t="str">
        <f>Data!A21</f>
        <v>Deferred tax assets—current</v>
      </c>
      <c r="B197" s="127">
        <f>IF(Data!C21/Data!C$33=0,"",Data!C21/Data!C$33)</f>
      </c>
      <c r="C197" s="127">
        <f>IF(Data!D21/Data!D$33=0,"",Data!D21/Data!D$33)</f>
      </c>
      <c r="D197" s="127">
        <f>IF(Data!E21/Data!E$33=0,"",Data!E21/Data!E$33)</f>
      </c>
      <c r="E197" s="127">
        <f>IF(Data!F21/Data!F$33=0,"",Data!F21/Data!F$33)</f>
      </c>
      <c r="F197" s="127">
        <f>IF(Data!G21/Data!G$33=0,"",Data!G21/Data!G$33)</f>
      </c>
      <c r="G197" s="47"/>
      <c r="H197" s="47"/>
      <c r="I197" s="47"/>
      <c r="J197" s="129"/>
      <c r="K197" s="129"/>
      <c r="L197" s="129"/>
      <c r="M197" s="129"/>
      <c r="N197" s="47"/>
      <c r="O197" s="47"/>
      <c r="P197" s="47"/>
      <c r="Q197" s="47"/>
      <c r="U197" s="47"/>
      <c r="V197" s="47"/>
      <c r="W197" s="47"/>
    </row>
    <row r="198" spans="1:20" ht="12.75" customHeight="1">
      <c r="A198" s="81" t="str">
        <f>Data!A22</f>
        <v>Other current assets (1)</v>
      </c>
      <c r="B198" s="127">
        <f>IF(Data!C22/Data!C$33=0,"",Data!C22/Data!C$33)</f>
      </c>
      <c r="C198" s="127">
        <f>IF(Data!D22/Data!D$33=0,"",Data!D22/Data!D$33)</f>
      </c>
      <c r="D198" s="127">
        <f>IF(Data!E22/Data!E$33=0,"",Data!E22/Data!E$33)</f>
      </c>
      <c r="E198" s="127">
        <f>IF(Data!F22/Data!F$33=0,"",Data!F22/Data!F$33)</f>
      </c>
      <c r="F198" s="127">
        <f>IF(Data!G22/Data!G$33=0,"",Data!G22/Data!G$33)</f>
      </c>
      <c r="G198" s="47"/>
      <c r="H198" s="47"/>
      <c r="I198" s="47"/>
      <c r="J198" s="47"/>
      <c r="K198" s="47"/>
      <c r="L198" s="47"/>
      <c r="M198" s="47"/>
      <c r="N198" s="47"/>
      <c r="O198" s="47"/>
      <c r="P198" s="47"/>
      <c r="Q198" s="47"/>
      <c r="R198" s="47"/>
      <c r="S198" s="47"/>
      <c r="T198" s="47"/>
    </row>
    <row r="199" spans="1:20" ht="12.75" customHeight="1">
      <c r="A199" s="81" t="str">
        <f>Data!A23</f>
        <v>Other current assets (2)</v>
      </c>
      <c r="B199" s="127">
        <f>IF(Data!C23/Data!C$33=0,"",Data!C23/Data!C$33)</f>
      </c>
      <c r="C199" s="127">
        <f>IF(Data!D23/Data!D$33=0,"",Data!D23/Data!D$33)</f>
      </c>
      <c r="D199" s="127">
        <f>IF(Data!E23/Data!E$33=0,"",Data!E23/Data!E$33)</f>
      </c>
      <c r="E199" s="127">
        <f>IF(Data!F23/Data!F$33=0,"",Data!F23/Data!F$33)</f>
      </c>
      <c r="F199" s="127">
        <f>IF(Data!G23/Data!G$33=0,"",Data!G23/Data!G$33)</f>
      </c>
      <c r="J199" s="130"/>
      <c r="K199" s="130"/>
      <c r="L199" s="130"/>
      <c r="R199" s="47"/>
      <c r="S199" s="47"/>
      <c r="T199" s="47"/>
    </row>
    <row r="200" spans="1:20" ht="12.75" customHeight="1">
      <c r="A200" s="542" t="str">
        <f>Data!A24</f>
        <v>  Current Assets</v>
      </c>
      <c r="B200" s="546">
        <f>IF(Data!C24/Data!C$33=0,"",Data!C24/Data!C$33)</f>
        <v>0.3002167027837973</v>
      </c>
      <c r="C200" s="546">
        <f>IF(Data!D24/Data!D$33=0,"",Data!D24/Data!D$33)</f>
        <v>0.3154738004416784</v>
      </c>
      <c r="D200" s="546">
        <f>IF(Data!E24/Data!E$33=0,"",Data!E24/Data!E$33)</f>
        <v>0.2577876249027922</v>
      </c>
      <c r="E200" s="546">
        <f>IF(Data!F24/Data!F$33=0,"",Data!F24/Data!F$33)</f>
        <v>0.2393046294009495</v>
      </c>
      <c r="F200" s="546">
        <f>IF(Data!G24/Data!G$33=0,"",Data!G24/Data!G$33)</f>
        <v>0.25081057906160403</v>
      </c>
      <c r="G200" s="47"/>
      <c r="H200" s="47"/>
      <c r="I200" s="47"/>
      <c r="J200" s="47"/>
      <c r="K200" s="47"/>
      <c r="L200" s="47"/>
      <c r="M200" s="47"/>
      <c r="N200" s="47"/>
      <c r="O200" s="47"/>
      <c r="P200" s="47"/>
      <c r="Q200" s="47"/>
      <c r="R200" s="47"/>
      <c r="S200" s="47"/>
      <c r="T200" s="47"/>
    </row>
    <row r="201" spans="1:17" ht="12.75" customHeight="1">
      <c r="A201" s="81" t="str">
        <f>Data!A25</f>
        <v>Investments in noncontrolled affiliates</v>
      </c>
      <c r="B201" s="127">
        <f>IF(Data!C25/Data!C$33=0,"",Data!C25/Data!C$33)</f>
        <v>0.10787909095960438</v>
      </c>
      <c r="C201" s="127">
        <f>IF(Data!D25/Data!D$33=0,"",Data!D25/Data!D$33)</f>
        <v>0.11252760489861474</v>
      </c>
      <c r="D201" s="127">
        <f>IF(Data!E25/Data!E$33=0,"",Data!E25/Data!E$33)</f>
        <v>0.020072483969891274</v>
      </c>
      <c r="E201" s="127">
        <f>IF(Data!F25/Data!F$33=0,"",Data!F25/Data!F$33)</f>
        <v>0.020265634861831455</v>
      </c>
      <c r="F201" s="127">
        <f>IF(Data!G25/Data!G$33=0,"",Data!G25/Data!G$33)</f>
        <v>0.02187893566279911</v>
      </c>
      <c r="G201" s="47"/>
      <c r="H201" s="47"/>
      <c r="I201" s="47"/>
      <c r="J201" s="47"/>
      <c r="K201" s="47"/>
      <c r="L201" s="47"/>
      <c r="M201" s="47"/>
      <c r="N201" s="47"/>
      <c r="O201" s="47"/>
      <c r="P201" s="47"/>
      <c r="Q201" s="47"/>
    </row>
    <row r="202" spans="1:20" ht="12.75" customHeight="1">
      <c r="A202" s="81" t="str">
        <f>Data!A26</f>
        <v>Property, plant, and equipment—at cost</v>
      </c>
      <c r="B202" s="127">
        <f>IF(Data!C26/Data!C$33=0,"",Data!C26/Data!C$33)</f>
        <v>0.6265488692559871</v>
      </c>
      <c r="C202" s="127">
        <f>IF(Data!D26/Data!D$33=0,"",Data!D26/Data!D$33)</f>
        <v>0.6251756675366392</v>
      </c>
      <c r="D202" s="127">
        <f>IF(Data!E26/Data!E$33=0,"",Data!E26/Data!E$33)</f>
        <v>0.4848062447727906</v>
      </c>
      <c r="E202" s="127">
        <f>IF(Data!F26/Data!F$33=0,"",Data!F26/Data!F$33)</f>
        <v>0.4821492275184545</v>
      </c>
      <c r="F202" s="127">
        <f>IF(Data!G26/Data!G$33=0,"",Data!G26/Data!G$33)</f>
        <v>0.484498512821887</v>
      </c>
      <c r="G202" s="47"/>
      <c r="H202" s="47"/>
      <c r="I202" s="47"/>
      <c r="J202" s="47"/>
      <c r="K202" s="47"/>
      <c r="L202" s="47"/>
      <c r="M202" s="47"/>
      <c r="N202" s="47"/>
      <c r="O202" s="47"/>
      <c r="P202" s="47"/>
      <c r="Q202" s="47"/>
      <c r="R202" s="47"/>
      <c r="S202" s="47"/>
      <c r="T202" s="47"/>
    </row>
    <row r="203" spans="1:20" ht="12.75" customHeight="1">
      <c r="A203" s="81" t="str">
        <f>Data!A27</f>
        <v>&lt;Accumulated depreciation&gt;</v>
      </c>
      <c r="B203" s="127">
        <f>IF(Data!C27/Data!C$33=0,"",Data!C27/Data!C$33)</f>
        <v>-0.302522642662666</v>
      </c>
      <c r="C203" s="127">
        <f>IF(Data!D27/Data!D$33=0,"",Data!D27/Data!D$33)</f>
        <v>-0.30719233085725756</v>
      </c>
      <c r="D203" s="127">
        <f>IF(Data!E27/Data!E$33=0,"",Data!E27/Data!E$33)</f>
        <v>-0.20517071882382287</v>
      </c>
      <c r="E203" s="127">
        <f>IF(Data!F27/Data!F$33=0,"",Data!F27/Data!F$33)</f>
        <v>-0.21187673225213358</v>
      </c>
      <c r="F203" s="127">
        <f>IF(Data!G27/Data!G$33=0,"",Data!G27/Data!G$33)</f>
        <v>-0.22811436533669177</v>
      </c>
      <c r="R203" s="47"/>
      <c r="S203" s="47"/>
      <c r="T203" s="47"/>
    </row>
    <row r="204" spans="1:20" ht="12.75" customHeight="1">
      <c r="A204" s="81" t="str">
        <f>Data!A28</f>
        <v>Amortizable intangible assets (net)</v>
      </c>
      <c r="B204" s="127">
        <f>IF(Data!C28/Data!C$33=0,"",Data!C28/Data!C$33)</f>
        <v>0.020336722787131188</v>
      </c>
      <c r="C204" s="127">
        <f>IF(Data!D28/Data!D$33=0,"",Data!D28/Data!D$33)</f>
        <v>0.021105199759084523</v>
      </c>
      <c r="D204" s="127">
        <f>IF(Data!E28/Data!E$33=0,"",Data!E28/Data!E$33)</f>
        <v>0.02971255850806274</v>
      </c>
      <c r="E204" s="127">
        <f>IF(Data!F28/Data!F$33=0,"",Data!F28/Data!F$33)</f>
        <v>0.025904887352158283</v>
      </c>
      <c r="F204" s="127">
        <f>IF(Data!G28/Data!G$33=0,"",Data!G28/Data!G$33)</f>
        <v>0.023861839813499826</v>
      </c>
      <c r="G204" s="47"/>
      <c r="H204" s="47"/>
      <c r="I204" s="47"/>
      <c r="J204" s="47"/>
      <c r="K204" s="47"/>
      <c r="L204" s="47"/>
      <c r="M204" s="47"/>
      <c r="N204" s="47"/>
      <c r="O204" s="47"/>
      <c r="P204" s="47"/>
      <c r="Q204" s="47"/>
      <c r="R204" s="47"/>
      <c r="S204" s="47"/>
      <c r="T204" s="47"/>
    </row>
    <row r="205" spans="1:17" ht="12.75" customHeight="1">
      <c r="A205" s="81" t="str">
        <f>Data!A29</f>
        <v>Goodwill</v>
      </c>
      <c r="B205" s="127">
        <f>IF(Data!C29/Data!C$33=0,"",Data!C29/Data!C$33)</f>
        <v>0.1423570595099183</v>
      </c>
      <c r="C205" s="127">
        <f>IF(Data!D29/Data!D$33=0,"",Data!D29/Data!D$33)</f>
        <v>0.16397309777153182</v>
      </c>
      <c r="D205" s="127">
        <f>IF(Data!E29/Data!E$33=0,"",Data!E29/Data!E$33)</f>
        <v>0.21511892359837426</v>
      </c>
      <c r="E205" s="127">
        <f>IF(Data!F29/Data!F$33=0,"",Data!F29/Data!F$33)</f>
        <v>0.23050959084547626</v>
      </c>
      <c r="F205" s="127">
        <f>IF(Data!G29/Data!G$33=0,"",Data!G29/Data!G$33)</f>
        <v>0.22737747528068813</v>
      </c>
      <c r="G205" s="47"/>
      <c r="H205" s="47"/>
      <c r="I205" s="47"/>
      <c r="J205" s="47"/>
      <c r="K205" s="47"/>
      <c r="L205" s="47"/>
      <c r="M205" s="47"/>
      <c r="N205" s="47"/>
      <c r="O205" s="47"/>
      <c r="P205" s="47"/>
      <c r="Q205" s="47"/>
    </row>
    <row r="206" spans="1:20" ht="12.75" customHeight="1">
      <c r="A206" s="81" t="str">
        <f>Data!A30</f>
        <v>Other nonamortizable intangible assets</v>
      </c>
      <c r="B206" s="127">
        <f>IF(Data!C30/Data!C$33=0,"",Data!C30/Data!C$33)</f>
        <v>0.03133855642607101</v>
      </c>
      <c r="C206" s="127">
        <f>IF(Data!D30/Data!D$33=0,"",Data!D30/Data!D$33)</f>
        <v>0.04471993575587231</v>
      </c>
      <c r="D206" s="127">
        <f>IF(Data!E30/Data!E$33=0,"",Data!E30/Data!E$33)</f>
        <v>0.17289040834592753</v>
      </c>
      <c r="E206" s="127">
        <f>IF(Data!F30/Data!F$33=0,"",Data!F30/Data!F$33)</f>
        <v>0.1997338163058094</v>
      </c>
      <c r="F206" s="127">
        <f>IF(Data!G30/Data!G$33=0,"",Data!G30/Data!G$33)</f>
        <v>0.19754012701304965</v>
      </c>
      <c r="G206" s="47"/>
      <c r="H206" s="47"/>
      <c r="I206" s="47"/>
      <c r="J206" s="47"/>
      <c r="K206" s="47"/>
      <c r="L206" s="47"/>
      <c r="M206" s="47"/>
      <c r="N206" s="47"/>
      <c r="O206" s="47"/>
      <c r="P206" s="47"/>
      <c r="Q206" s="47"/>
      <c r="R206" s="47"/>
      <c r="S206" s="47"/>
      <c r="T206" s="47"/>
    </row>
    <row r="207" spans="1:20" ht="12.75" customHeight="1">
      <c r="A207" s="81" t="str">
        <f>Data!A31</f>
        <v>Deferred tax assets—non current</v>
      </c>
      <c r="B207" s="127">
        <f>IF(Data!C31/Data!C$33=0,"",Data!C31/Data!C$33)</f>
      </c>
      <c r="C207" s="127">
        <f>IF(Data!D31/Data!D$33=0,"",Data!D31/Data!D$33)</f>
      </c>
      <c r="D207" s="127">
        <f>IF(Data!E31/Data!E$33=0,"",Data!E31/Data!E$33)</f>
      </c>
      <c r="E207" s="127">
        <f>IF(Data!F31/Data!F$33=0,"",Data!F31/Data!F$33)</f>
      </c>
      <c r="F207" s="127">
        <f>IF(Data!G31/Data!G$33=0,"",Data!G31/Data!G$33)</f>
      </c>
      <c r="G207" s="47"/>
      <c r="H207" s="47"/>
      <c r="I207" s="47"/>
      <c r="J207" s="47"/>
      <c r="K207" s="47"/>
      <c r="L207" s="47"/>
      <c r="M207" s="47"/>
      <c r="N207" s="47"/>
      <c r="O207" s="47"/>
      <c r="P207" s="47"/>
      <c r="Q207" s="47"/>
      <c r="R207" s="47"/>
      <c r="S207" s="47"/>
      <c r="T207" s="47"/>
    </row>
    <row r="208" spans="1:20" ht="12.75" customHeight="1">
      <c r="A208" s="81" t="str">
        <f>Data!A32</f>
        <v>Other assets </v>
      </c>
      <c r="B208" s="127">
        <f>IF(Data!C32/Data!C$33=0,"",Data!C32/Data!C$33)</f>
        <v>0.07384564094015669</v>
      </c>
      <c r="C208" s="127">
        <f>IF(Data!D32/Data!D$33=0,"",Data!D32/Data!D$33)</f>
        <v>0.02421702469383658</v>
      </c>
      <c r="D208" s="127">
        <f>IF(Data!E32/Data!E$33=0,"",Data!E32/Data!E$33)</f>
        <v>0.02478247472598418</v>
      </c>
      <c r="E208" s="127">
        <f>IF(Data!F32/Data!F$33=0,"",Data!F32/Data!F$33)</f>
        <v>0.014008945967454242</v>
      </c>
      <c r="F208" s="127">
        <f>IF(Data!G32/Data!G$33=0,"",Data!G32/Data!G$33)</f>
        <v>0.02214689568316407</v>
      </c>
      <c r="G208" s="47"/>
      <c r="H208" s="47"/>
      <c r="I208" s="47"/>
      <c r="J208" s="47"/>
      <c r="K208" s="47"/>
      <c r="L208" s="47"/>
      <c r="M208" s="47"/>
      <c r="N208" s="47"/>
      <c r="O208" s="47"/>
      <c r="P208" s="47"/>
      <c r="Q208" s="47"/>
      <c r="R208" s="47"/>
      <c r="S208" s="47"/>
      <c r="T208" s="47"/>
    </row>
    <row r="209" spans="1:20" ht="12.75" customHeight="1">
      <c r="A209" s="542" t="str">
        <f>Data!A33</f>
        <v>   Total Assets</v>
      </c>
      <c r="B209" s="546">
        <f>IF(Data!C33/Data!C$33=0,"",Data!C33/Data!C$33)</f>
        <v>1</v>
      </c>
      <c r="C209" s="546">
        <f>IF(Data!D33/Data!D$33=0,"",Data!D33/Data!D$33)</f>
        <v>1</v>
      </c>
      <c r="D209" s="546">
        <f>IF(Data!E33/Data!E$33=0,"",Data!E33/Data!E$33)</f>
        <v>1</v>
      </c>
      <c r="E209" s="546">
        <f>IF(Data!F33/Data!F$33=0,"",Data!F33/Data!F$33)</f>
        <v>1</v>
      </c>
      <c r="F209" s="546">
        <f>IF(Data!G33/Data!G$33=0,"",Data!G33/Data!G$33)</f>
        <v>1</v>
      </c>
      <c r="G209" s="47"/>
      <c r="H209" s="47"/>
      <c r="I209" s="47"/>
      <c r="J209" s="47"/>
      <c r="K209" s="47"/>
      <c r="L209" s="47"/>
      <c r="M209" s="47"/>
      <c r="N209" s="47"/>
      <c r="O209" s="47"/>
      <c r="P209" s="47"/>
      <c r="Q209" s="47"/>
      <c r="R209" s="47"/>
      <c r="S209" s="47"/>
      <c r="T209" s="47"/>
    </row>
    <row r="210" ht="12.75" customHeight="1"/>
    <row r="211" spans="1:20" ht="12.75" customHeight="1">
      <c r="A211" s="542" t="str">
        <f>Data!A35</f>
        <v>Liabilities and Equities:</v>
      </c>
      <c r="B211" s="553">
        <f>IF(Data!C35/Data!C$33=0,"",Data!C35/Data!C$33)</f>
      </c>
      <c r="C211" s="554">
        <f>IF(Data!D35/Data!D$33=0,"",Data!D35/Data!D$33)</f>
      </c>
      <c r="D211" s="554">
        <f>IF(Data!E35/Data!E$33=0,"",Data!E35/Data!E$33)</f>
      </c>
      <c r="E211" s="554">
        <f>IF(Data!F35/Data!F$33=0,"",Data!F35/Data!F$33)</f>
      </c>
      <c r="F211" s="554">
        <f>IF(Data!G35/Data!G$33=0,"",Data!G35/Data!G$33)</f>
      </c>
      <c r="G211" s="47"/>
      <c r="H211" s="47"/>
      <c r="I211" s="47"/>
      <c r="J211" s="47"/>
      <c r="K211" s="47"/>
      <c r="L211" s="47"/>
      <c r="M211" s="47"/>
      <c r="N211" s="47"/>
      <c r="O211" s="47"/>
      <c r="P211" s="47"/>
      <c r="Q211" s="47"/>
      <c r="R211" s="47"/>
      <c r="S211" s="47"/>
      <c r="T211" s="47"/>
    </row>
    <row r="212" spans="1:20" ht="12.75" customHeight="1">
      <c r="A212" s="102" t="str">
        <f>Data!A36</f>
        <v>Accounts payable</v>
      </c>
      <c r="B212" s="127">
        <f>IF(Data!C36/Data!C$33=0,"",Data!C36/Data!C$33)</f>
        <v>0.07906873367783519</v>
      </c>
      <c r="C212" s="127">
        <f>IF(Data!D36/Data!D$33=0,"",Data!D36/Data!D$33)</f>
        <v>0.07229973900823128</v>
      </c>
      <c r="D212" s="127">
        <f>IF(Data!E36/Data!E$33=0,"",Data!E36/Data!E$33)</f>
        <v>0.05671063636230247</v>
      </c>
      <c r="E212" s="127">
        <f>IF(Data!F36/Data!F$33=0,"",Data!F36/Data!F$33)</f>
        <v>0.05602206306083807</v>
      </c>
      <c r="F212" s="127">
        <f>IF(Data!G36/Data!G$33=0,"",Data!G36/Data!G$33)</f>
        <v>0.059634502532222196</v>
      </c>
      <c r="G212" s="47"/>
      <c r="H212" s="47"/>
      <c r="I212" s="47"/>
      <c r="J212" s="47"/>
      <c r="K212" s="47"/>
      <c r="L212" s="47"/>
      <c r="M212" s="47"/>
      <c r="N212" s="47"/>
      <c r="O212" s="47"/>
      <c r="P212" s="47"/>
      <c r="Q212" s="47"/>
      <c r="R212" s="47"/>
      <c r="S212" s="47"/>
      <c r="T212" s="47"/>
    </row>
    <row r="213" spans="1:20" ht="12.75" customHeight="1">
      <c r="A213" s="81" t="str">
        <f>Data!A37</f>
        <v>Current accrued expenses</v>
      </c>
      <c r="B213" s="127">
        <f>IF(Data!C37/Data!C$33=0,"",Data!C37/Data!C$33)</f>
        <v>0.15077512918819802</v>
      </c>
      <c r="C213" s="127">
        <f>IF(Data!D37/Data!D$33=0,"",Data!D37/Data!D$33)</f>
        <v>0.13165027102991367</v>
      </c>
      <c r="D213" s="127">
        <f>IF(Data!E37/Data!E$33=0,"",Data!E37/Data!E$33)</f>
        <v>0.10356110516044782</v>
      </c>
      <c r="E213" s="127">
        <f>IF(Data!F37/Data!F$33=0,"",Data!F37/Data!F$33)</f>
        <v>0.10529348810405861</v>
      </c>
      <c r="F213" s="127">
        <f>IF(Data!G37/Data!G$33=0,"",Data!G37/Data!G$33)</f>
        <v>0.09984190358798467</v>
      </c>
      <c r="G213" s="47"/>
      <c r="H213" s="47"/>
      <c r="I213" s="47"/>
      <c r="J213" s="47"/>
      <c r="K213" s="47"/>
      <c r="L213" s="47"/>
      <c r="M213" s="47"/>
      <c r="N213" s="47"/>
      <c r="O213" s="47"/>
      <c r="P213" s="47"/>
      <c r="Q213" s="47"/>
      <c r="R213" s="47"/>
      <c r="S213" s="47"/>
      <c r="T213" s="47"/>
    </row>
    <row r="214" spans="1:20" ht="12.75" customHeight="1">
      <c r="A214" s="81" t="str">
        <f>Data!A38</f>
        <v>Notes payable and short-term debt</v>
      </c>
      <c r="B214" s="127">
        <f>IF(Data!C38/Data!C$33=0,"",Data!C38/Data!C$33)</f>
        <v>0.010251708618103017</v>
      </c>
      <c r="C214" s="127">
        <f>IF(Data!D38/Data!D$33=0,"",Data!D38/Data!D$33)</f>
        <v>0.011644248142943184</v>
      </c>
      <c r="D214" s="127">
        <f>IF(Data!E38/Data!E$33=0,"",Data!E38/Data!E$33)</f>
        <v>0.07186770941851423</v>
      </c>
      <c r="E214" s="127">
        <f>IF(Data!F38/Data!F$33=0,"",Data!F38/Data!F$33)</f>
        <v>0.08513761971405834</v>
      </c>
      <c r="F214" s="127">
        <f>IF(Data!G38/Data!G$33=0,"",Data!G38/Data!G$33)</f>
        <v>0.06451137490286449</v>
      </c>
      <c r="H214" s="114"/>
      <c r="I214" s="114"/>
      <c r="J214" s="114"/>
      <c r="K214" s="114"/>
      <c r="L214" s="114"/>
      <c r="M214" s="47"/>
      <c r="N214" s="47"/>
      <c r="O214" s="47"/>
      <c r="P214" s="47"/>
      <c r="Q214" s="47"/>
      <c r="R214" s="47"/>
      <c r="S214" s="47"/>
      <c r="T214" s="47"/>
    </row>
    <row r="215" spans="1:20" ht="12.75" customHeight="1">
      <c r="A215" s="81" t="str">
        <f>Data!A39</f>
        <v>Current maturities of long-term debt</v>
      </c>
      <c r="B215" s="127">
        <f>IF(Data!C39/Data!C$33=0,"",Data!C39/Data!C$33)</f>
      </c>
      <c r="C215" s="127">
        <f>IF(Data!D39/Data!D$33=0,"",Data!D39/Data!D$33)</f>
      </c>
      <c r="D215" s="127">
        <f>IF(Data!E39/Data!E$33=0,"",Data!E39/Data!E$33)</f>
      </c>
      <c r="E215" s="127">
        <f>IF(Data!F39/Data!F$33=0,"",Data!F39/Data!F$33)</f>
      </c>
      <c r="F215" s="127">
        <f>IF(Data!G39/Data!G$33=0,"",Data!G39/Data!G$33)</f>
      </c>
      <c r="G215" s="47"/>
      <c r="H215" s="47"/>
      <c r="I215" s="47"/>
      <c r="J215" s="47"/>
      <c r="K215" s="47"/>
      <c r="L215" s="47"/>
      <c r="M215" s="47"/>
      <c r="N215" s="47"/>
      <c r="O215" s="47"/>
      <c r="P215" s="47"/>
      <c r="Q215" s="47"/>
      <c r="R215" s="47"/>
      <c r="S215" s="47"/>
      <c r="T215" s="47"/>
    </row>
    <row r="216" spans="1:20" ht="12.75" customHeight="1">
      <c r="A216" s="126" t="str">
        <f>Data!A40</f>
        <v>Deferred tax liabilities—current</v>
      </c>
      <c r="B216" s="127">
        <f>IF(Data!C40/Data!C$33=0,"",Data!C40/Data!C$33)</f>
      </c>
      <c r="C216" s="127">
        <f>IF(Data!D40/Data!D$33=0,"",Data!D40/Data!D$33)</f>
      </c>
      <c r="D216" s="127">
        <f>IF(Data!E40/Data!E$33=0,"",Data!E40/Data!E$33)</f>
      </c>
      <c r="E216" s="127">
        <f>IF(Data!F40/Data!F$33=0,"",Data!F40/Data!F$33)</f>
      </c>
      <c r="F216" s="127">
        <f>IF(Data!G40/Data!G$33=0,"",Data!G40/Data!G$33)</f>
      </c>
      <c r="R216" s="47"/>
      <c r="S216" s="47"/>
      <c r="T216" s="47"/>
    </row>
    <row r="217" spans="1:20" ht="12.75" customHeight="1">
      <c r="A217" s="126" t="str">
        <f>Data!A41</f>
        <v>Income taxes payable</v>
      </c>
      <c r="B217" s="127">
        <f>IF(Data!C41/Data!C$33=0,"",Data!C41/Data!C$33)</f>
        <v>0.004028449185975441</v>
      </c>
      <c r="C217" s="127">
        <f>IF(Data!D41/Data!D$33=0,"",Data!D41/Data!D$33)</f>
        <v>0.0041407347922104</v>
      </c>
      <c r="D217" s="127">
        <f>IF(Data!E41/Data!E$33=0,"",Data!E41/Data!E$33)</f>
        <v>0.0010417736563320763</v>
      </c>
      <c r="E217" s="127">
        <f>IF(Data!F41/Data!F$33=0,"",Data!F41/Data!F$33)</f>
        <v>0.0026343953239483</v>
      </c>
      <c r="F217" s="127">
        <f>IF(Data!G41/Data!G$33=0,"",Data!G41/Data!G$33)</f>
        <v>0.004970658377770037</v>
      </c>
      <c r="G217" s="47"/>
      <c r="H217" s="47"/>
      <c r="I217" s="47"/>
      <c r="J217" s="47"/>
      <c r="K217" s="47"/>
      <c r="L217" s="47"/>
      <c r="M217" s="47"/>
      <c r="N217" s="47"/>
      <c r="O217" s="47"/>
      <c r="P217" s="47"/>
      <c r="Q217" s="47"/>
      <c r="R217" s="47"/>
      <c r="S217" s="47"/>
      <c r="T217" s="47"/>
    </row>
    <row r="218" spans="1:17" ht="12.75" customHeight="1">
      <c r="A218" s="81" t="str">
        <f>Data!A42</f>
        <v>Other current liabilities (2)</v>
      </c>
      <c r="B218" s="127">
        <f>IF(Data!C42/Data!C$33=0,"",Data!C42/Data!C$33)</f>
      </c>
      <c r="C218" s="127">
        <f>IF(Data!D42/Data!D$33=0,"",Data!D42/Data!D$33)</f>
      </c>
      <c r="D218" s="127">
        <f>IF(Data!E42/Data!E$33=0,"",Data!E42/Data!E$33)</f>
      </c>
      <c r="E218" s="127">
        <f>IF(Data!F42/Data!F$33=0,"",Data!F42/Data!F$33)</f>
      </c>
      <c r="F218" s="127">
        <f>IF(Data!G42/Data!G$33=0,"",Data!G42/Data!G$33)</f>
      </c>
      <c r="G218" s="47"/>
      <c r="H218" s="47"/>
      <c r="I218" s="47"/>
      <c r="J218" s="47"/>
      <c r="K218" s="47"/>
      <c r="L218" s="47"/>
      <c r="M218" s="47"/>
      <c r="N218" s="47"/>
      <c r="O218" s="47"/>
      <c r="P218" s="47"/>
      <c r="Q218" s="47"/>
    </row>
    <row r="219" spans="1:20" ht="12.75" customHeight="1">
      <c r="A219" s="81" t="str">
        <f>Data!A43</f>
        <v>Other current liabilities (1)</v>
      </c>
      <c r="B219" s="127">
        <f>IF(Data!C43/Data!C$33=0,"",Data!C43/Data!C$33)</f>
      </c>
      <c r="C219" s="127">
        <f>IF(Data!D43/Data!D$33=0,"",Data!D43/Data!D$33)</f>
      </c>
      <c r="D219" s="127">
        <f>IF(Data!E43/Data!E$33=0,"",Data!E43/Data!E$33)</f>
      </c>
      <c r="E219" s="127">
        <f>IF(Data!F43/Data!F$33=0,"",Data!F43/Data!F$33)</f>
      </c>
      <c r="F219" s="127">
        <f>IF(Data!G43/Data!G$33=0,"",Data!G43/Data!G$33)</f>
      </c>
      <c r="G219" s="47"/>
      <c r="H219" s="47"/>
      <c r="I219" s="47"/>
      <c r="J219" s="47"/>
      <c r="K219" s="47"/>
      <c r="L219" s="47"/>
      <c r="M219" s="47"/>
      <c r="N219" s="47"/>
      <c r="O219" s="47"/>
      <c r="P219" s="47"/>
      <c r="Q219" s="47"/>
      <c r="R219" s="47"/>
      <c r="S219" s="47"/>
      <c r="T219" s="47"/>
    </row>
    <row r="220" spans="1:20" ht="12.75" customHeight="1">
      <c r="A220" s="542" t="str">
        <f>Data!A44</f>
        <v>  Current Liabilities</v>
      </c>
      <c r="B220" s="546">
        <f>IF(Data!C44/Data!C$33=0,"",Data!C44/Data!C$33)</f>
        <v>0.24412402067011169</v>
      </c>
      <c r="C220" s="546">
        <f>IF(Data!D44/Data!D$33=0,"",Data!D44/Data!D$33)</f>
        <v>0.21973499297329854</v>
      </c>
      <c r="D220" s="546">
        <f>IF(Data!E44/Data!E$33=0,"",Data!E44/Data!E$33)</f>
        <v>0.23318122459759658</v>
      </c>
      <c r="E220" s="546">
        <f>IF(Data!F44/Data!F$33=0,"",Data!F44/Data!F$33)</f>
        <v>0.24908756620290332</v>
      </c>
      <c r="F220" s="546">
        <f>IF(Data!G44/Data!G$33=0,"",Data!G44/Data!G$33)</f>
        <v>0.2289584394008414</v>
      </c>
      <c r="R220" s="47"/>
      <c r="S220" s="47"/>
      <c r="T220" s="47"/>
    </row>
    <row r="221" spans="1:20" ht="12.75" customHeight="1">
      <c r="A221" s="521" t="str">
        <f>Data!A45</f>
        <v>Long-term debt obligations</v>
      </c>
      <c r="B221" s="547">
        <f>IF(Data!C45/Data!C$33=0,"",Data!C45/Data!C$33)</f>
        <v>0.21831416347168972</v>
      </c>
      <c r="C221" s="547">
        <f>IF(Data!D45/Data!D$33=0,"",Data!D45/Data!D$33)</f>
        <v>0.18570568159004217</v>
      </c>
      <c r="D221" s="547">
        <f>IF(Data!E45/Data!E$33=0,"",Data!E45/Data!E$33)</f>
        <v>0.2934426951124675</v>
      </c>
      <c r="E221" s="547">
        <f>IF(Data!F45/Data!F$33=0,"",Data!F45/Data!F$33)</f>
        <v>0.2822095990779616</v>
      </c>
      <c r="F221" s="547">
        <f>IF(Data!G45/Data!G$33=0,"",Data!G45/Data!G$33)</f>
        <v>0.31544253597363275</v>
      </c>
      <c r="G221" s="47"/>
      <c r="H221" s="47"/>
      <c r="I221" s="47"/>
      <c r="J221" s="47"/>
      <c r="K221" s="47"/>
      <c r="L221" s="47"/>
      <c r="M221" s="47"/>
      <c r="N221" s="47"/>
      <c r="O221" s="47"/>
      <c r="P221" s="47"/>
      <c r="Q221" s="47"/>
      <c r="R221" s="47"/>
      <c r="S221" s="47"/>
      <c r="T221" s="47"/>
    </row>
    <row r="222" spans="1:17" ht="12.75" customHeight="1">
      <c r="A222" s="81" t="str">
        <f>Data!A46</f>
        <v>Long-term accrued liabilities</v>
      </c>
      <c r="B222" s="127">
        <f>IF(Data!C46/Data!C$33=0,"",Data!C46/Data!C$33)</f>
        <v>0.18172473189976107</v>
      </c>
      <c r="C222" s="127">
        <f>IF(Data!D46/Data!D$33=0,"",Data!D46/Data!D$33)</f>
        <v>0.14030817104998997</v>
      </c>
      <c r="D222" s="127">
        <f>IF(Data!E46/Data!E$33=0,"",Data!E46/Data!E$33)</f>
        <v>0.09873373145716256</v>
      </c>
      <c r="E222" s="127">
        <f>IF(Data!F46/Data!F$33=0,"",Data!F46/Data!F$33)</f>
        <v>0.11341620701956587</v>
      </c>
      <c r="F222" s="127">
        <f>IF(Data!G46/Data!G$33=0,"",Data!G46/Data!G$33)</f>
        <v>0.08766312066239718</v>
      </c>
      <c r="G222" s="47"/>
      <c r="H222" s="47"/>
      <c r="I222" s="47"/>
      <c r="J222" s="47"/>
      <c r="K222" s="47"/>
      <c r="L222" s="47"/>
      <c r="M222" s="47"/>
      <c r="N222" s="47"/>
      <c r="O222" s="47"/>
      <c r="P222" s="47"/>
      <c r="Q222" s="47"/>
    </row>
    <row r="223" spans="1:20" ht="12.75" customHeight="1">
      <c r="A223" s="81" t="str">
        <f>Data!A47</f>
        <v>Deferred tax liabilities—noncurrent</v>
      </c>
      <c r="B223" s="127">
        <f>IF(Data!C47/Data!C$33=0,"",Data!C47/Data!C$33)</f>
        <v>0.006278824248485859</v>
      </c>
      <c r="C223" s="127">
        <f>IF(Data!D47/Data!D$33=0,"",Data!D47/Data!D$33)</f>
        <v>0.016537843806464565</v>
      </c>
      <c r="D223" s="127">
        <f>IF(Data!E47/Data!E$33=0,"",Data!E47/Data!E$33)</f>
        <v>0.05952782709491879</v>
      </c>
      <c r="E223" s="127">
        <f>IF(Data!F47/Data!F$33=0,"",Data!F47/Data!F$33)</f>
        <v>0.0685354408495925</v>
      </c>
      <c r="F223" s="127">
        <f>IF(Data!G47/Data!G$33=0,"",Data!G47/Data!G$33)</f>
        <v>0.06783407915539001</v>
      </c>
      <c r="G223" s="47"/>
      <c r="H223" s="47"/>
      <c r="I223" s="47"/>
      <c r="J223" s="47"/>
      <c r="K223" s="47"/>
      <c r="L223" s="47"/>
      <c r="M223" s="47"/>
      <c r="N223" s="47"/>
      <c r="O223" s="47"/>
      <c r="P223" s="47"/>
      <c r="Q223" s="47"/>
      <c r="R223" s="47"/>
      <c r="S223" s="47"/>
      <c r="T223" s="47"/>
    </row>
    <row r="224" spans="1:20" ht="12.75" customHeight="1">
      <c r="A224" s="81" t="str">
        <f>Data!A48</f>
        <v>Other noncurrent liabilities (1)</v>
      </c>
      <c r="B224" s="127">
        <f>IF(Data!C48/Data!C$33=0,"",Data!C48/Data!C$33)</f>
      </c>
      <c r="C224" s="127">
        <f>IF(Data!D48/Data!D$33=0,"",Data!D48/Data!D$33)</f>
      </c>
      <c r="D224" s="127">
        <f>IF(Data!E48/Data!E$33=0,"",Data!E48/Data!E$33)</f>
      </c>
      <c r="E224" s="127">
        <f>IF(Data!F48/Data!F$33=0,"",Data!F48/Data!F$33)</f>
      </c>
      <c r="F224" s="127">
        <f>IF(Data!G48/Data!G$33=0,"",Data!G48/Data!G$33)</f>
      </c>
      <c r="R224" s="47"/>
      <c r="S224" s="47"/>
      <c r="T224" s="47"/>
    </row>
    <row r="225" spans="1:20" ht="12.75" customHeight="1">
      <c r="A225" s="81" t="str">
        <f>Data!A49</f>
        <v>Other noncurrent liabilities (2)</v>
      </c>
      <c r="B225" s="127">
        <f>IF(Data!C49/Data!C$33=0,"",Data!C49/Data!C$33)</f>
      </c>
      <c r="C225" s="127">
        <f>IF(Data!D49/Data!D$33=0,"",Data!D49/Data!D$33)</f>
      </c>
      <c r="D225" s="127">
        <f>IF(Data!E49/Data!E$33=0,"",Data!E49/Data!E$33)</f>
      </c>
      <c r="E225" s="127">
        <f>IF(Data!F49/Data!F$33=0,"",Data!F49/Data!F$33)</f>
      </c>
      <c r="F225" s="127">
        <f>IF(Data!G49/Data!G$33=0,"",Data!G49/Data!G$33)</f>
      </c>
      <c r="G225" s="47"/>
      <c r="H225" s="47"/>
      <c r="I225" s="47"/>
      <c r="J225" s="47"/>
      <c r="K225" s="47"/>
      <c r="L225" s="47"/>
      <c r="M225" s="47"/>
      <c r="N225" s="47"/>
      <c r="O225" s="47"/>
      <c r="P225" s="47"/>
      <c r="Q225" s="47"/>
      <c r="R225" s="47"/>
      <c r="S225" s="47"/>
      <c r="T225" s="47"/>
    </row>
    <row r="226" spans="1:17" ht="12.75" customHeight="1">
      <c r="A226" s="542" t="str">
        <f>Data!A50</f>
        <v>  Total Liabilities</v>
      </c>
      <c r="B226" s="546">
        <f>IF(Data!C50/Data!C$33=0,"",Data!C50/Data!C$33)</f>
        <v>0.6504417402900483</v>
      </c>
      <c r="C226" s="546">
        <f>IF(Data!D50/Data!D$33=0,"",Data!D50/Data!D$33)</f>
        <v>0.5622866894197952</v>
      </c>
      <c r="D226" s="546">
        <f>IF(Data!E50/Data!E$33=0,"",Data!E50/Data!E$33)</f>
        <v>0.6848854782621455</v>
      </c>
      <c r="E226" s="546">
        <f>IF(Data!F50/Data!F$33=0,"",Data!F50/Data!F$33)</f>
        <v>0.7132488131500233</v>
      </c>
      <c r="F226" s="546">
        <f>IF(Data!G50/Data!G$33=0,"",Data!G50/Data!G$33)</f>
        <v>0.6998981751922613</v>
      </c>
      <c r="G226" s="47"/>
      <c r="H226" s="47"/>
      <c r="I226" s="47"/>
      <c r="J226" s="47"/>
      <c r="K226" s="47"/>
      <c r="L226" s="47"/>
      <c r="M226" s="47"/>
      <c r="N226" s="47"/>
      <c r="O226" s="47"/>
      <c r="P226" s="47"/>
      <c r="Q226" s="47"/>
    </row>
    <row r="227" spans="1:20" ht="12.75" customHeight="1">
      <c r="A227" s="102"/>
      <c r="B227" s="131">
        <f>IF(Data!C51/Data!C$33=0,"",Data!C51/Data!C$33)</f>
      </c>
      <c r="C227" s="131">
        <f>IF(Data!D51/Data!D$33=0,"",Data!D51/Data!D$33)</f>
      </c>
      <c r="D227" s="131">
        <f>IF(Data!E51/Data!E$33=0,"",Data!E51/Data!E$33)</f>
      </c>
      <c r="E227" s="131">
        <f>IF(Data!F51/Data!F$33=0,"",Data!F51/Data!F$33)</f>
      </c>
      <c r="F227" s="131">
        <f>IF(Data!G51/Data!G$33=0,"",Data!G51/Data!G$33)</f>
      </c>
      <c r="G227" s="47"/>
      <c r="H227" s="47"/>
      <c r="I227" s="47"/>
      <c r="J227" s="47"/>
      <c r="K227" s="47"/>
      <c r="L227" s="47"/>
      <c r="M227" s="47"/>
      <c r="N227" s="47"/>
      <c r="O227" s="47"/>
      <c r="P227" s="47"/>
      <c r="Q227" s="47"/>
      <c r="R227" s="47"/>
      <c r="S227" s="47"/>
      <c r="T227" s="47"/>
    </row>
    <row r="228" spans="1:20" ht="12.75" customHeight="1">
      <c r="A228" s="81" t="str">
        <f>Data!A52</f>
        <v>Preferred stock</v>
      </c>
      <c r="B228" s="127">
        <f>IF(Data!C52/Data!C$33=0,"",Data!C52/Data!C$33)</f>
        <v>-0.002694893593376674</v>
      </c>
      <c r="C228" s="127">
        <f>IF(Data!D52/Data!D$33=0,"",Data!D52/Data!D$33)</f>
        <v>-0.0026099176872114035</v>
      </c>
      <c r="D228" s="127">
        <f>IF(Data!E52/Data!E$33=0,"",Data!E52/Data!E$33)</f>
        <v>-0.001599342655495723</v>
      </c>
      <c r="E228" s="127">
        <f>IF(Data!F52/Data!F$33=0,"",Data!F52/Data!F$33)</f>
        <v>-0.001591613841552098</v>
      </c>
      <c r="F228" s="127">
        <f>IF(Data!G52/Data!G$33=0,"",Data!G52/Data!G$33)</f>
        <v>-0.0016479541252445134</v>
      </c>
      <c r="R228" s="47"/>
      <c r="S228" s="47"/>
      <c r="T228" s="47"/>
    </row>
    <row r="229" spans="1:17" ht="12.75" customHeight="1">
      <c r="A229" s="81" t="str">
        <f>Data!A53</f>
        <v>Common stock + Additional paid in capital</v>
      </c>
      <c r="B229" s="127">
        <f>IF(Data!C53/Data!C$33=0,"",Data!C53/Data!C$33)</f>
        <v>0.010585097516252709</v>
      </c>
      <c r="C229" s="127">
        <f>IF(Data!D53/Data!D$33=0,"",Data!D53/Data!D$33)</f>
        <v>0.007026701465569163</v>
      </c>
      <c r="D229" s="127">
        <f>IF(Data!E53/Data!E$33=0,"",Data!E53/Data!E$33)</f>
        <v>0.06687893416283949</v>
      </c>
      <c r="E229" s="127">
        <f>IF(Data!F53/Data!F$33=0,"",Data!F53/Data!F$33)</f>
        <v>0.06156526988831262</v>
      </c>
      <c r="F229" s="127">
        <f>IF(Data!G53/Data!G$33=0,"",Data!G53/Data!G$33)</f>
        <v>0.05632519628071492</v>
      </c>
      <c r="G229" s="47"/>
      <c r="H229" s="47"/>
      <c r="I229" s="47"/>
      <c r="J229" s="47"/>
      <c r="K229" s="47"/>
      <c r="L229" s="47"/>
      <c r="M229" s="47"/>
      <c r="N229" s="47"/>
      <c r="O229" s="47"/>
      <c r="P229" s="47"/>
      <c r="Q229" s="47"/>
    </row>
    <row r="230" spans="1:20" ht="12.75" customHeight="1">
      <c r="A230" s="81" t="str">
        <f>Data!A54</f>
        <v>Retained earnings &lt;deficit&gt;</v>
      </c>
      <c r="B230" s="127">
        <f>IF(Data!C54/Data!C$33=0,"",Data!C54/Data!C$33)</f>
        <v>0.851197421792521</v>
      </c>
      <c r="C230" s="127">
        <f>IF(Data!D54/Data!D$33=0,"",Data!D54/Data!D$33)</f>
        <v>0.8483487251555912</v>
      </c>
      <c r="D230" s="127">
        <f>IF(Data!E54/Data!E$33=0,"",Data!E54/Data!E$33)</f>
        <v>0.5442166889205171</v>
      </c>
      <c r="E230" s="127">
        <f>IF(Data!F54/Data!F$33=0,"",Data!F54/Data!F$33)</f>
        <v>0.5531681347932275</v>
      </c>
      <c r="F230" s="127">
        <f>IF(Data!G54/Data!G$33=0,"",Data!G54/Data!G$33)</f>
        <v>0.5782309279455505</v>
      </c>
      <c r="G230" s="47"/>
      <c r="H230" s="47"/>
      <c r="I230" s="47"/>
      <c r="J230" s="47"/>
      <c r="K230" s="47"/>
      <c r="L230" s="47"/>
      <c r="M230" s="47"/>
      <c r="N230" s="47"/>
      <c r="O230" s="47"/>
      <c r="P230" s="47"/>
      <c r="Q230" s="47"/>
      <c r="R230" s="47"/>
      <c r="S230" s="47"/>
      <c r="T230" s="47"/>
    </row>
    <row r="231" spans="1:20" ht="12.75" customHeight="1">
      <c r="A231" s="81" t="str">
        <f>Data!A55</f>
        <v>Accum. other comprehensive income &lt;loss&gt;</v>
      </c>
      <c r="B231" s="127">
        <f>IF(Data!C55/Data!C$33=0,"",Data!C55/Data!C$33)</f>
        <v>-0.1304106239928877</v>
      </c>
      <c r="C231" s="127">
        <f>IF(Data!D55/Data!D$33=0,"",Data!D55/Data!D$33)</f>
        <v>-0.09521180485846216</v>
      </c>
      <c r="D231" s="127">
        <f>IF(Data!E55/Data!E$33=0,"",Data!E55/Data!E$33)</f>
        <v>-0.05326251228852728</v>
      </c>
      <c r="E231" s="127">
        <f>IF(Data!F55/Data!F$33=0,"",Data!F55/Data!F$33)</f>
        <v>-0.08546691912955187</v>
      </c>
      <c r="F231" s="127">
        <f>IF(Data!G55/Data!G$33=0,"",Data!G55/Data!G$33)</f>
        <v>-0.0735148315871272</v>
      </c>
      <c r="R231" s="47"/>
      <c r="S231" s="47"/>
      <c r="T231" s="47"/>
    </row>
    <row r="232" spans="1:17" ht="12.75" customHeight="1">
      <c r="A232" s="81" t="str">
        <f>Data!A56</f>
        <v>&lt;Treasury stock&gt; and other equity adjustments</v>
      </c>
      <c r="B232" s="127">
        <f>IF(Data!C56/Data!C$33=0,"",Data!C56/Data!C$33)</f>
        <v>-0.39234316830582877</v>
      </c>
      <c r="C232" s="127">
        <f>IF(Data!D56/Data!D$33=0,"",Data!D56/Data!D$33)</f>
        <v>-0.3358512346918289</v>
      </c>
      <c r="D232" s="127">
        <f>IF(Data!E56/Data!E$33=0,"",Data!E56/Data!E$33)</f>
        <v>-0.24569718134198054</v>
      </c>
      <c r="E232" s="127">
        <f>IF(Data!F56/Data!F$33=0,"",Data!F56/Data!F$33)</f>
        <v>-0.24519085645289646</v>
      </c>
      <c r="F232" s="127">
        <f>IF(Data!G56/Data!G$33=0,"",Data!G56/Data!G$33)</f>
        <v>-0.2606983038130711</v>
      </c>
      <c r="G232" s="47"/>
      <c r="H232" s="47"/>
      <c r="I232" s="47"/>
      <c r="J232" s="47"/>
      <c r="K232" s="47"/>
      <c r="L232" s="47"/>
      <c r="M232" s="47"/>
      <c r="N232" s="47"/>
      <c r="O232" s="47"/>
      <c r="P232" s="47"/>
      <c r="Q232" s="47"/>
    </row>
    <row r="233" spans="1:20" ht="12.75" customHeight="1">
      <c r="A233" s="542" t="str">
        <f>Data!A57</f>
        <v> Total Common Shareholders' Equity</v>
      </c>
      <c r="B233" s="546">
        <f>IF(Data!C57/Data!C$33=0,"",Data!C57/Data!C$33)</f>
        <v>0.3390287270100572</v>
      </c>
      <c r="C233" s="546">
        <f>IF(Data!D57/Data!D$33=0,"",Data!D57/Data!D$33)</f>
        <v>0.4243123870708693</v>
      </c>
      <c r="D233" s="546">
        <f>IF(Data!E57/Data!E$33=0,"",Data!E57/Data!E$33)</f>
        <v>0.31213592945284874</v>
      </c>
      <c r="E233" s="546">
        <f>IF(Data!F57/Data!F$33=0,"",Data!F57/Data!F$33)</f>
        <v>0.2840756290990917</v>
      </c>
      <c r="F233" s="546">
        <f>IF(Data!G57/Data!G$33=0,"",Data!G57/Data!G$33)</f>
        <v>0.30034298882606714</v>
      </c>
      <c r="G233" s="47"/>
      <c r="H233" s="47"/>
      <c r="I233" s="47"/>
      <c r="J233" s="47"/>
      <c r="K233" s="47"/>
      <c r="L233" s="47"/>
      <c r="M233" s="47"/>
      <c r="N233" s="47"/>
      <c r="O233" s="47"/>
      <c r="P233" s="47"/>
      <c r="Q233" s="47"/>
      <c r="R233" s="47"/>
      <c r="S233" s="47"/>
      <c r="T233" s="47"/>
    </row>
    <row r="234" spans="1:20" ht="12.75" customHeight="1">
      <c r="A234" s="521" t="str">
        <f>Data!A58</f>
        <v>Noncontrolling interests</v>
      </c>
      <c r="B234" s="547">
        <f>IF(Data!C58/Data!C$33=0,"",Data!C58/Data!C$33)</f>
        <v>0.013224426293271101</v>
      </c>
      <c r="C234" s="547">
        <f>IF(Data!D58/Data!D$33=0,"",Data!D58/Data!D$33)</f>
        <v>0.016010841196546877</v>
      </c>
      <c r="D234" s="547">
        <f>IF(Data!E58/Data!E$33=0,"",Data!E58/Data!E$33)</f>
        <v>0.004577934940501518</v>
      </c>
      <c r="E234" s="547">
        <f>IF(Data!F58/Data!F$33=0,"",Data!F58/Data!F$33)</f>
        <v>0.00426717159243709</v>
      </c>
      <c r="F234" s="547">
        <f>IF(Data!G58/Data!G$33=0,"",Data!G58/Data!G$33)</f>
        <v>0.001406790106916048</v>
      </c>
      <c r="R234" s="47"/>
      <c r="S234" s="47"/>
      <c r="T234" s="47"/>
    </row>
    <row r="235" spans="1:20" ht="12.75" customHeight="1">
      <c r="A235" s="542" t="str">
        <f>Data!A59</f>
        <v>  Total Equity</v>
      </c>
      <c r="B235" s="546">
        <f>IF(Data!C59/Data!C$33=0,"",Data!C59/Data!C$33)</f>
        <v>0.34955825970995164</v>
      </c>
      <c r="C235" s="546">
        <f>IF(Data!D59/Data!D$33=0,"",Data!D59/Data!D$33)</f>
        <v>0.4377133105802048</v>
      </c>
      <c r="D235" s="546">
        <f>IF(Data!E59/Data!E$33=0,"",Data!E59/Data!E$33)</f>
        <v>0.31511452173785454</v>
      </c>
      <c r="E235" s="546">
        <f>IF(Data!F59/Data!F$33=0,"",Data!F59/Data!F$33)</f>
        <v>0.2867511868499767</v>
      </c>
      <c r="F235" s="546">
        <f>IF(Data!G59/Data!G$33=0,"",Data!G59/Data!G$33)</f>
        <v>0.30010182480773867</v>
      </c>
      <c r="G235" s="47"/>
      <c r="H235" s="47"/>
      <c r="I235" s="47"/>
      <c r="J235" s="47"/>
      <c r="K235" s="47"/>
      <c r="L235" s="47"/>
      <c r="M235" s="47"/>
      <c r="N235" s="47"/>
      <c r="O235" s="47"/>
      <c r="P235" s="47"/>
      <c r="Q235" s="47"/>
      <c r="R235" s="47"/>
      <c r="S235" s="47"/>
      <c r="T235" s="47"/>
    </row>
    <row r="236" spans="1:17" ht="12.75" customHeight="1">
      <c r="A236" s="542" t="str">
        <f>Data!A60</f>
        <v>  Total Liabilities and Equities</v>
      </c>
      <c r="B236" s="546">
        <f>IF(Data!C60/Data!C$33=0,"",Data!C60/Data!C$33)</f>
        <v>1</v>
      </c>
      <c r="C236" s="546">
        <f>IF(Data!D60/Data!D$33=0,"",Data!D60/Data!D$33)</f>
        <v>1</v>
      </c>
      <c r="D236" s="546">
        <f>IF(Data!E60/Data!E$33=0,"",Data!E60/Data!E$33)</f>
        <v>1</v>
      </c>
      <c r="E236" s="546">
        <f>IF(Data!F60/Data!F$33=0,"",Data!F60/Data!F$33)</f>
        <v>1</v>
      </c>
      <c r="F236" s="546">
        <f>IF(Data!G60/Data!G$33=0,"",Data!G60/Data!G$33)</f>
        <v>1</v>
      </c>
      <c r="G236" s="47"/>
      <c r="H236" s="47"/>
      <c r="I236" s="47"/>
      <c r="K236" s="47"/>
      <c r="L236" s="47"/>
      <c r="M236" s="47"/>
      <c r="N236" s="47"/>
      <c r="O236" s="47"/>
      <c r="P236" s="47"/>
      <c r="Q236" s="47"/>
    </row>
    <row r="237" spans="1:17" ht="12.75" customHeight="1">
      <c r="A237" s="97"/>
      <c r="B237" s="132"/>
      <c r="C237" s="132"/>
      <c r="D237" s="132"/>
      <c r="E237" s="132"/>
      <c r="F237" s="132"/>
      <c r="G237" s="47"/>
      <c r="H237" s="47"/>
      <c r="I237" s="47"/>
      <c r="K237" s="47"/>
      <c r="L237" s="47"/>
      <c r="M237" s="47"/>
      <c r="N237" s="47"/>
      <c r="O237" s="47"/>
      <c r="P237" s="47"/>
      <c r="Q237" s="47"/>
    </row>
    <row r="238" spans="1:20" ht="12.75" customHeight="1" thickBot="1">
      <c r="A238" s="51"/>
      <c r="B238" s="132"/>
      <c r="C238" s="132"/>
      <c r="D238" s="132"/>
      <c r="E238" s="132"/>
      <c r="F238" s="132"/>
      <c r="G238" s="47"/>
      <c r="H238" s="47"/>
      <c r="I238" s="47"/>
      <c r="K238" s="47"/>
      <c r="L238" s="47"/>
      <c r="M238" s="47"/>
      <c r="N238" s="47"/>
      <c r="O238" s="47"/>
      <c r="P238" s="47"/>
      <c r="Q238" s="47"/>
      <c r="R238" s="47"/>
      <c r="S238" s="47"/>
      <c r="T238" s="47"/>
    </row>
    <row r="239" spans="1:19" ht="12.75" customHeight="1" thickBot="1">
      <c r="A239" s="103" t="s">
        <v>22</v>
      </c>
      <c r="B239" s="133"/>
      <c r="C239" s="133"/>
      <c r="D239" s="133"/>
      <c r="E239" s="133"/>
      <c r="F239" s="133"/>
      <c r="G239" s="134"/>
      <c r="H239" s="47"/>
      <c r="I239" s="47"/>
      <c r="J239" s="109" t="s">
        <v>506</v>
      </c>
      <c r="K239" s="47"/>
      <c r="L239" s="47"/>
      <c r="M239" s="47"/>
      <c r="N239" s="47"/>
      <c r="O239" s="47"/>
      <c r="P239" s="47"/>
      <c r="Q239" s="47"/>
      <c r="R239" s="47"/>
      <c r="S239" s="47"/>
    </row>
    <row r="240" spans="1:7" ht="12.75" customHeight="1" thickBot="1">
      <c r="A240" s="76" t="s">
        <v>19</v>
      </c>
      <c r="B240" s="77">
        <f>Data!$C$11</f>
        <v>2008</v>
      </c>
      <c r="C240" s="77">
        <f>Data!$D$11</f>
        <v>2009</v>
      </c>
      <c r="D240" s="77">
        <f>Data!$E$11</f>
        <v>2010</v>
      </c>
      <c r="E240" s="77">
        <f>Data!$F$11</f>
        <v>2011</v>
      </c>
      <c r="F240" s="77">
        <f>Data!$G$11</f>
        <v>2012</v>
      </c>
      <c r="G240" s="77"/>
    </row>
    <row r="241" spans="1:19" ht="12.75" customHeight="1">
      <c r="A241" s="70"/>
      <c r="B241" s="135"/>
      <c r="C241" s="136"/>
      <c r="D241" s="135"/>
      <c r="E241" s="136"/>
      <c r="F241" s="137"/>
      <c r="G241" s="138" t="s">
        <v>459</v>
      </c>
      <c r="H241" s="47"/>
      <c r="I241" s="47"/>
      <c r="J241" s="47"/>
      <c r="K241" s="47"/>
      <c r="L241" s="47"/>
      <c r="M241" s="47"/>
      <c r="N241" s="47"/>
      <c r="O241" s="47"/>
      <c r="P241" s="47"/>
      <c r="Q241" s="47"/>
      <c r="R241" s="47"/>
      <c r="S241" s="47"/>
    </row>
    <row r="242" spans="1:19" ht="12.75" customHeight="1">
      <c r="A242" s="80"/>
      <c r="B242" s="135"/>
      <c r="C242" s="136"/>
      <c r="D242" s="136"/>
      <c r="E242" s="136"/>
      <c r="F242" s="137"/>
      <c r="G242" s="138" t="s">
        <v>460</v>
      </c>
      <c r="H242" s="47"/>
      <c r="I242" s="47"/>
      <c r="J242" s="47"/>
      <c r="K242" s="47"/>
      <c r="L242" s="47"/>
      <c r="M242" s="47"/>
      <c r="N242" s="47"/>
      <c r="O242" s="47"/>
      <c r="P242" s="47"/>
      <c r="Q242" s="47"/>
      <c r="R242" s="47"/>
      <c r="S242" s="47"/>
    </row>
    <row r="243" spans="1:19" ht="12.75" customHeight="1">
      <c r="A243" s="31" t="str">
        <f>Data!A15</f>
        <v>Assets:</v>
      </c>
      <c r="B243" s="118" t="s">
        <v>361</v>
      </c>
      <c r="C243" s="138"/>
      <c r="D243" s="138"/>
      <c r="E243" s="136"/>
      <c r="F243" s="137"/>
      <c r="G243" s="138" t="s">
        <v>461</v>
      </c>
      <c r="H243" s="47"/>
      <c r="I243" s="47"/>
      <c r="J243" s="47"/>
      <c r="K243" s="47"/>
      <c r="L243" s="47"/>
      <c r="M243" s="47"/>
      <c r="N243" s="47"/>
      <c r="O243" s="47"/>
      <c r="P243" s="47"/>
      <c r="Q243" s="47"/>
      <c r="R243" s="47"/>
      <c r="S243" s="47"/>
    </row>
    <row r="244" spans="1:10" ht="12.75" customHeight="1">
      <c r="A244" s="81" t="str">
        <f>Data!A16</f>
        <v>Cash and cash equivalents</v>
      </c>
      <c r="B244" s="127">
        <f>IF(ISERROR(Data!C16/Data!B16-1),"",Data!C16/Data!B16-1)</f>
        <v>1.268131868131868</v>
      </c>
      <c r="C244" s="127">
        <f>IF(ISERROR(Data!D16/Data!C16-1),"",Data!D16/Data!C16-1)</f>
        <v>0.9103682170542635</v>
      </c>
      <c r="D244" s="127">
        <f>IF(ISERROR(Data!E16/Data!D16-1),"",Data!E16/Data!D16-1)</f>
        <v>0.5072279989855439</v>
      </c>
      <c r="E244" s="127">
        <f>IF(ISERROR(Data!F16/Data!E16-1),"",Data!F16/Data!E16-1)</f>
        <v>-0.31566548881036516</v>
      </c>
      <c r="F244" s="127">
        <f>IF(ISERROR(Data!G16/Data!F16-1),"",Data!G16/Data!F16-1)</f>
        <v>0.5483157118268995</v>
      </c>
      <c r="G244" s="127">
        <f>IF(ISERROR((Data!G16/Data!B16)^(1/5)-1),"",(Data!G16/Data!B16)^(1/5)-1)</f>
        <v>0.4723750861321112</v>
      </c>
      <c r="J244" s="47" t="s">
        <v>362</v>
      </c>
    </row>
    <row r="245" spans="1:19" ht="12.75" customHeight="1">
      <c r="A245" s="81" t="str">
        <f>Data!A17</f>
        <v>Marketable securities</v>
      </c>
      <c r="B245" s="127">
        <f>IF(ISERROR(Data!C17/Data!B17-1),"",Data!C17/Data!B17-1)</f>
        <v>-0.8644175684277531</v>
      </c>
      <c r="C245" s="127">
        <f>IF(ISERROR(Data!D17/Data!C17-1),"",Data!D17/Data!C17-1)</f>
        <v>-0.09859154929577463</v>
      </c>
      <c r="D245" s="127">
        <f>IF(ISERROR(Data!E17/Data!D17-1),"",Data!E17/Data!D17-1)</f>
        <v>1.21875</v>
      </c>
      <c r="E245" s="127">
        <f>IF(ISERROR(Data!F17/Data!E17-1),"",Data!F17/Data!E17-1)</f>
        <v>-0.15962441314553988</v>
      </c>
      <c r="F245" s="127">
        <f>IF(ISERROR(Data!G17/Data!F17-1),"",Data!G17/Data!F17-1)</f>
        <v>-0.1005586592178771</v>
      </c>
      <c r="G245" s="127">
        <f>IF(ISERROR((Data!G17/Data!B17)^(1/5)-1),"",(Data!G17/Data!B17)^(1/5)-1)</f>
        <v>-0.2716570223199418</v>
      </c>
      <c r="H245" s="47"/>
      <c r="I245" s="47"/>
      <c r="J245" s="47" t="s">
        <v>363</v>
      </c>
      <c r="K245" s="47"/>
      <c r="L245" s="47"/>
      <c r="M245" s="47"/>
      <c r="N245" s="47"/>
      <c r="O245" s="47"/>
      <c r="P245" s="47"/>
      <c r="Q245" s="47"/>
      <c r="R245" s="47"/>
      <c r="S245" s="47"/>
    </row>
    <row r="246" spans="1:19" ht="12.75" customHeight="1">
      <c r="A246" s="81" t="str">
        <f>Data!A18</f>
        <v>Accounts and notes receivable—net</v>
      </c>
      <c r="B246" s="127">
        <f>IF(ISERROR(Data!C18/Data!B18-1),"",Data!C18/Data!B18-1)</f>
        <v>0.06698564593301426</v>
      </c>
      <c r="C246" s="127">
        <f>IF(ISERROR(Data!D18/Data!C18-1),"",Data!D18/Data!C18-1)</f>
        <v>-0.012598761477685239</v>
      </c>
      <c r="D246" s="127">
        <f>IF(ISERROR(Data!E18/Data!D18-1),"",Data!E18/Data!D18-1)</f>
        <v>0.36743079584775096</v>
      </c>
      <c r="E246" s="127">
        <f>IF(ISERROR(Data!F18/Data!E18-1),"",Data!F18/Data!E18-1)</f>
        <v>0.09315198481733344</v>
      </c>
      <c r="F246" s="127">
        <f>IF(ISERROR(Data!G18/Data!F18-1),"",Data!G18/Data!F18-1)</f>
        <v>0.01866319444444442</v>
      </c>
      <c r="G246" s="127">
        <f>IF(ISERROR((Data!G18/Data!B18)^(1/5)-1),"",(Data!G18/Data!B18)^(1/5)-1)</f>
        <v>0.09914187197209201</v>
      </c>
      <c r="H246" s="47"/>
      <c r="I246" s="47"/>
      <c r="J246" s="47"/>
      <c r="K246" s="47"/>
      <c r="L246" s="47"/>
      <c r="M246" s="47"/>
      <c r="N246" s="47"/>
      <c r="O246" s="47"/>
      <c r="P246" s="47"/>
      <c r="Q246" s="47"/>
      <c r="R246" s="47"/>
      <c r="S246" s="47"/>
    </row>
    <row r="247" spans="1:19" ht="12.75" customHeight="1">
      <c r="A247" s="81" t="str">
        <f>Data!A19</f>
        <v>Inventories</v>
      </c>
      <c r="B247" s="127">
        <f>IF(ISERROR(Data!C19/Data!B19-1),"",Data!C19/Data!B19-1)</f>
        <v>0.10131004366812224</v>
      </c>
      <c r="C247" s="127">
        <f>IF(ISERROR(Data!D19/Data!C19-1),"",Data!D19/Data!C19-1)</f>
        <v>0.03806502775574949</v>
      </c>
      <c r="D247" s="127">
        <f>IF(ISERROR(Data!E19/Data!D19-1),"",Data!E19/Data!D19-1)</f>
        <v>0.28800611153552325</v>
      </c>
      <c r="E247" s="127">
        <f>IF(ISERROR(Data!F19/Data!E19-1),"",Data!F19/Data!E19-1)</f>
        <v>0.13493475682087785</v>
      </c>
      <c r="F247" s="127">
        <f>IF(ISERROR(Data!G19/Data!F19-1),"",Data!G19/Data!F19-1)</f>
        <v>-0.06428011497256336</v>
      </c>
      <c r="G247" s="127">
        <f>IF(ISERROR((Data!G19/Data!B19)^(1/5)-1),"",(Data!G19/Data!B19)^(1/5)-1)</f>
        <v>0.09353771935330224</v>
      </c>
      <c r="H247" s="47"/>
      <c r="I247" s="47"/>
      <c r="J247" s="47"/>
      <c r="K247" s="47"/>
      <c r="L247" s="47"/>
      <c r="M247" s="47"/>
      <c r="N247" s="47"/>
      <c r="O247" s="47"/>
      <c r="P247" s="47"/>
      <c r="Q247" s="47"/>
      <c r="R247" s="47"/>
      <c r="S247" s="47"/>
    </row>
    <row r="248" spans="1:7" ht="12.75" customHeight="1">
      <c r="A248" s="81" t="str">
        <f>Data!A20</f>
        <v>Prepaid expenses and other current assets</v>
      </c>
      <c r="B248" s="127">
        <f>IF(ISERROR(Data!C20/Data!B20-1),"",Data!C20/Data!B20-1)</f>
        <v>0.3360242179616548</v>
      </c>
      <c r="C248" s="127">
        <f>IF(ISERROR(Data!D20/Data!C20-1),"",Data!D20/Data!C20-1)</f>
        <v>-0.09818731117824775</v>
      </c>
      <c r="D248" s="127">
        <f>IF(ISERROR(Data!E20/Data!D20-1),"",Data!E20/Data!D20-1)</f>
        <v>0.26046901172529324</v>
      </c>
      <c r="E248" s="127">
        <f>IF(ISERROR(Data!F20/Data!E20-1),"",Data!F20/Data!E20-1)</f>
        <v>0.5129568106312292</v>
      </c>
      <c r="F248" s="127">
        <f>IF(ISERROR(Data!G20/Data!F20-1),"",Data!G20/Data!F20-1)</f>
        <v>-0.35046113306982873</v>
      </c>
      <c r="G248" s="127">
        <f>IF(ISERROR((Data!G20/Data!B20)^(1/5)-1),"",(Data!G20/Data!B20)^(1/5)-1)</f>
        <v>0.08337523531318203</v>
      </c>
    </row>
    <row r="249" spans="1:19" ht="12.75" customHeight="1">
      <c r="A249" s="81" t="str">
        <f>Data!A21</f>
        <v>Deferred tax assets—current</v>
      </c>
      <c r="B249" s="127">
        <f>IF(ISERROR(Data!C21/Data!B21-1),"",Data!C21/Data!B21-1)</f>
      </c>
      <c r="C249" s="127">
        <f>IF(ISERROR(Data!D21/Data!C21-1),"",Data!D21/Data!C21-1)</f>
      </c>
      <c r="D249" s="127">
        <f>IF(ISERROR(Data!E21/Data!D21-1),"",Data!E21/Data!D21-1)</f>
      </c>
      <c r="E249" s="127">
        <f>IF(ISERROR(Data!F21/Data!E21-1),"",Data!F21/Data!E21-1)</f>
      </c>
      <c r="F249" s="127">
        <f>IF(ISERROR(Data!G21/Data!F21-1),"",Data!G21/Data!F21-1)</f>
      </c>
      <c r="G249" s="127">
        <f>IF(ISERROR((Data!G21/Data!B21)^(1/5)-1),"",(Data!G21/Data!B21)^(1/5)-1)</f>
      </c>
      <c r="H249" s="47"/>
      <c r="I249" s="47"/>
      <c r="J249" s="47"/>
      <c r="K249" s="47"/>
      <c r="L249" s="47"/>
      <c r="M249" s="47"/>
      <c r="N249" s="47"/>
      <c r="O249" s="47"/>
      <c r="P249" s="47"/>
      <c r="Q249" s="47"/>
      <c r="R249" s="47"/>
      <c r="S249" s="47"/>
    </row>
    <row r="250" spans="1:19" ht="12.75" customHeight="1">
      <c r="A250" s="81" t="str">
        <f>Data!A22</f>
        <v>Other current assets (1)</v>
      </c>
      <c r="B250" s="127">
        <f>IF(ISERROR(Data!C22/Data!B22-1),"",Data!C22/Data!B22-1)</f>
      </c>
      <c r="C250" s="127">
        <f>IF(ISERROR(Data!D22/Data!C22-1),"",Data!D22/Data!C22-1)</f>
      </c>
      <c r="D250" s="127">
        <f>IF(ISERROR(Data!E22/Data!D22-1),"",Data!E22/Data!D22-1)</f>
      </c>
      <c r="E250" s="127">
        <f>IF(ISERROR(Data!F22/Data!E22-1),"",Data!F22/Data!E22-1)</f>
      </c>
      <c r="F250" s="127">
        <f>IF(ISERROR(Data!G22/Data!F22-1),"",Data!G22/Data!F22-1)</f>
      </c>
      <c r="G250" s="127">
        <f>IF(ISERROR((Data!G22/Data!B22)^(1/5)-1),"",(Data!G22/Data!B22)^(1/5)-1)</f>
      </c>
      <c r="H250" s="47"/>
      <c r="I250" s="47"/>
      <c r="J250" s="47"/>
      <c r="K250" s="47"/>
      <c r="L250" s="47"/>
      <c r="M250" s="47"/>
      <c r="N250" s="47"/>
      <c r="O250" s="47"/>
      <c r="P250" s="47"/>
      <c r="Q250" s="47"/>
      <c r="R250" s="47"/>
      <c r="S250" s="47"/>
    </row>
    <row r="251" spans="1:19" ht="12.75" customHeight="1">
      <c r="A251" s="81" t="str">
        <f>Data!A23</f>
        <v>Other current assets (2)</v>
      </c>
      <c r="B251" s="127">
        <f>IF(ISERROR(Data!C23/Data!B23-1),"",Data!C23/Data!B23-1)</f>
      </c>
      <c r="C251" s="127">
        <f>IF(ISERROR(Data!D23/Data!C23-1),"",Data!D23/Data!C23-1)</f>
      </c>
      <c r="D251" s="127">
        <f>IF(ISERROR(Data!E23/Data!D23-1),"",Data!E23/Data!D23-1)</f>
      </c>
      <c r="E251" s="127">
        <f>IF(ISERROR(Data!F23/Data!E23-1),"",Data!F23/Data!E23-1)</f>
      </c>
      <c r="F251" s="127">
        <f>IF(ISERROR(Data!G23/Data!F23-1),"",Data!G23/Data!F23-1)</f>
      </c>
      <c r="G251" s="127">
        <f>IF(ISERROR((Data!G23/Data!B23)^(1/5)-1),"",(Data!G23/Data!B23)^(1/5)-1)</f>
      </c>
      <c r="H251" s="47"/>
      <c r="I251" s="47"/>
      <c r="J251" s="47"/>
      <c r="K251" s="47"/>
      <c r="L251" s="47"/>
      <c r="M251" s="47"/>
      <c r="N251" s="47"/>
      <c r="O251" s="47"/>
      <c r="P251" s="47"/>
      <c r="Q251" s="47"/>
      <c r="R251" s="47"/>
      <c r="S251" s="47"/>
    </row>
    <row r="252" spans="1:7" ht="12.75" customHeight="1">
      <c r="A252" s="542" t="str">
        <f>Data!A24</f>
        <v>  Current Assets</v>
      </c>
      <c r="B252" s="546">
        <f>IF(ISERROR(Data!C24/Data!B24-1),"",Data!C24/Data!B24-1)</f>
        <v>0.06452566249630576</v>
      </c>
      <c r="C252" s="546">
        <f>IF(ISERROR(Data!D24/Data!C24-1),"",Data!D24/Data!C24-1)</f>
        <v>0.16333518415694992</v>
      </c>
      <c r="D252" s="546">
        <f>IF(ISERROR(Data!E24/Data!D24-1),"",Data!E24/Data!D24-1)</f>
        <v>0.3975817357409912</v>
      </c>
      <c r="E252" s="546">
        <f>IF(ISERROR(Data!F24/Data!E24-1),"",Data!F24/Data!E24-1)</f>
        <v>-0.007285559792816865</v>
      </c>
      <c r="F252" s="546">
        <f>IF(ISERROR(Data!G24/Data!F24-1),"",Data!G24/Data!F24-1)</f>
        <v>0.0733329510922538</v>
      </c>
      <c r="G252" s="546">
        <f>IF(ISERROR((Data!G24/Data!B24)^(1/5)-1),"",(Data!G24/Data!B24)^(1/5)-1)</f>
        <v>0.13021067076114234</v>
      </c>
    </row>
    <row r="253" spans="1:19" ht="12.75" customHeight="1">
      <c r="A253" s="81" t="str">
        <f>Data!A25</f>
        <v>Investments in noncontrolled affiliates</v>
      </c>
      <c r="B253" s="127">
        <f>IF(ISERROR(Data!C25/Data!B25-1),"",Data!C25/Data!B25-1)</f>
        <v>-0.10817638952687181</v>
      </c>
      <c r="C253" s="127">
        <f>IF(ISERROR(Data!D25/Data!C25-1),"",Data!D25/Data!C25-1)</f>
        <v>0.15477723409734745</v>
      </c>
      <c r="D253" s="127">
        <f>IF(ISERROR(Data!E25/Data!D25-1),"",Data!E25/Data!D25-1)</f>
        <v>-0.6949152542372881</v>
      </c>
      <c r="E253" s="127">
        <f>IF(ISERROR(Data!F25/Data!E25-1),"",Data!F25/Data!E25-1)</f>
        <v>0.07967836257309946</v>
      </c>
      <c r="F253" s="127">
        <f>IF(ISERROR(Data!G25/Data!F25-1),"",Data!G25/Data!F25-1)</f>
        <v>0.1056194989844279</v>
      </c>
      <c r="G253" s="127">
        <f>IF(ISERROR((Data!G25/Data!B25)^(1/5)-1),"",(Data!G25/Data!B25)^(1/5)-1)</f>
        <v>-0.17809891832720948</v>
      </c>
      <c r="H253" s="47"/>
      <c r="I253" s="47"/>
      <c r="J253" s="47"/>
      <c r="K253" s="47"/>
      <c r="L253" s="47"/>
      <c r="M253" s="47"/>
      <c r="N253" s="47"/>
      <c r="O253" s="47"/>
      <c r="P253" s="47"/>
      <c r="Q253" s="47"/>
      <c r="R253" s="47"/>
      <c r="S253" s="47"/>
    </row>
    <row r="254" spans="1:19" ht="12.75" customHeight="1">
      <c r="A254" s="81" t="str">
        <f>Data!A26</f>
        <v>Property, plant, and equipment—at cost</v>
      </c>
      <c r="B254" s="127">
        <f>IF(ISERROR(Data!C26/Data!B26-1),"",Data!C26/Data!B26-1)</f>
        <v>0.02995981001096082</v>
      </c>
      <c r="C254" s="127">
        <f>IF(ISERROR(Data!D26/Data!C26-1),"",Data!D26/Data!C26-1)</f>
        <v>0.10464703795672214</v>
      </c>
      <c r="D254" s="127">
        <f>IF(ISERROR(Data!E26/Data!D26-1),"",Data!E26/Data!D26-1)</f>
        <v>0.32630860629415537</v>
      </c>
      <c r="E254" s="127">
        <f>IF(ISERROR(Data!F26/Data!E26-1),"",Data!F26/Data!E26-1)</f>
        <v>0.0635271329560243</v>
      </c>
      <c r="F254" s="127">
        <f>IF(ISERROR(Data!G26/Data!F26-1),"",Data!G26/Data!F26-1)</f>
        <v>0.02908366533864548</v>
      </c>
      <c r="G254" s="127">
        <f>IF(ISERROR((Data!G26/Data!B26)^(1/5)-1),"",(Data!G26/Data!B26)^(1/5)-1)</f>
        <v>0.10554781731709895</v>
      </c>
      <c r="H254" s="47"/>
      <c r="I254" s="47"/>
      <c r="J254" s="47"/>
      <c r="K254" s="47"/>
      <c r="L254" s="47"/>
      <c r="M254" s="47"/>
      <c r="N254" s="47"/>
      <c r="O254" s="47"/>
      <c r="P254" s="47"/>
      <c r="Q254" s="47"/>
      <c r="R254" s="47"/>
      <c r="S254" s="47"/>
    </row>
    <row r="255" spans="1:19" ht="12.75" customHeight="1">
      <c r="A255" s="81" t="str">
        <f>Data!A27</f>
        <v>&lt;Accumulated depreciation&gt;</v>
      </c>
      <c r="B255" s="127">
        <f>IF(ISERROR(Data!C27/Data!B27-1),"",Data!C27/Data!B27-1)</f>
        <v>0.02071616047993996</v>
      </c>
      <c r="C255" s="127">
        <f>IF(ISERROR(Data!D27/Data!C27-1),"",Data!D27/Data!C27-1)</f>
        <v>0.12416199834695574</v>
      </c>
      <c r="D255" s="127">
        <f>IF(ISERROR(Data!E27/Data!D27-1),"",Data!E27/Data!D27-1)</f>
        <v>0.1423086349154481</v>
      </c>
      <c r="E255" s="127">
        <f>IF(ISERROR(Data!F27/Data!E27-1),"",Data!F27/Data!E27-1)</f>
        <v>0.10434098548237136</v>
      </c>
      <c r="F255" s="127">
        <f>IF(ISERROR(Data!G27/Data!F27-1),"",Data!G27/Data!F27-1)</f>
        <v>0.10257738634891855</v>
      </c>
      <c r="G255" s="127">
        <f>IF(ISERROR((Data!G27/Data!B27)^(1/5)-1),"",(Data!G27/Data!B27)^(1/5)-1)</f>
        <v>0.09800906198630144</v>
      </c>
      <c r="H255" s="47"/>
      <c r="I255" s="47"/>
      <c r="J255" s="47"/>
      <c r="K255" s="47"/>
      <c r="L255" s="47"/>
      <c r="M255" s="47"/>
      <c r="N255" s="47"/>
      <c r="O255" s="47"/>
      <c r="P255" s="47"/>
      <c r="Q255" s="47"/>
      <c r="R255" s="47"/>
      <c r="S255" s="47"/>
    </row>
    <row r="256" spans="1:7" ht="12.75" customHeight="1">
      <c r="A256" s="81" t="str">
        <f>Data!A28</f>
        <v>Amortizable intangible assets (net)</v>
      </c>
      <c r="B256" s="127">
        <f>IF(ISERROR(Data!C28/Data!B28-1),"",Data!C28/Data!B28-1)</f>
        <v>-0.08040201005025127</v>
      </c>
      <c r="C256" s="127">
        <f>IF(ISERROR(Data!D28/Data!C28-1),"",Data!D28/Data!C28-1)</f>
        <v>0.1489071038251366</v>
      </c>
      <c r="D256" s="127">
        <f>IF(ISERROR(Data!E28/Data!D28-1),"",Data!E28/Data!D28-1)</f>
        <v>1.4078478002378123</v>
      </c>
      <c r="E256" s="127">
        <f>IF(ISERROR(Data!F28/Data!E28-1),"",Data!F28/Data!E28-1)</f>
        <v>-0.06765432098765434</v>
      </c>
      <c r="F256" s="127">
        <f>IF(ISERROR(Data!G28/Data!F28-1),"",Data!G28/Data!F28-1)</f>
        <v>-0.056673728813559365</v>
      </c>
      <c r="G256" s="127">
        <f>IF(ISERROR((Data!G28/Data!B28)^(1/5)-1),"",(Data!G28/Data!B28)^(1/5)-1)</f>
        <v>0.1747627584278737</v>
      </c>
    </row>
    <row r="257" spans="1:19" ht="12.75" customHeight="1">
      <c r="A257" s="81" t="str">
        <f>Data!A29</f>
        <v>Goodwill</v>
      </c>
      <c r="B257" s="127">
        <f>IF(ISERROR(Data!C29/Data!B29-1),"",Data!C29/Data!B29-1)</f>
        <v>-0.00870574579222283</v>
      </c>
      <c r="C257" s="127">
        <f>IF(ISERROR(Data!D29/Data!C29-1),"",Data!D29/Data!C29-1)</f>
        <v>0.275175644028103</v>
      </c>
      <c r="D257" s="127">
        <f>IF(ISERROR(Data!E29/Data!D29-1),"",Data!E29/Data!D29-1)</f>
        <v>1.2438016528925622</v>
      </c>
      <c r="E257" s="127">
        <f>IF(ISERROR(Data!F29/Data!E29-1),"",Data!F29/Data!E29-1)</f>
        <v>0.1458972784939636</v>
      </c>
      <c r="F257" s="127">
        <f>IF(ISERROR(Data!G29/Data!F29-1),"",Data!G29/Data!F29-1)</f>
        <v>0.01017857142857137</v>
      </c>
      <c r="G257" s="127">
        <f>IF(ISERROR((Data!G29/Data!B29)^(1/5)-1),"",(Data!G29/Data!B29)^(1/5)-1)</f>
        <v>0.2684115273743086</v>
      </c>
      <c r="H257" s="47"/>
      <c r="I257" s="47"/>
      <c r="J257" s="47"/>
      <c r="K257" s="47"/>
      <c r="L257" s="47"/>
      <c r="M257" s="47"/>
      <c r="N257" s="47"/>
      <c r="O257" s="47"/>
      <c r="P257" s="47"/>
      <c r="Q257" s="47"/>
      <c r="R257" s="47"/>
      <c r="S257" s="47"/>
    </row>
    <row r="258" spans="1:19" ht="12.75" customHeight="1">
      <c r="A258" s="81" t="str">
        <f>Data!A30</f>
        <v>Other nonamortizable intangible assets</v>
      </c>
      <c r="B258" s="127">
        <f>IF(ISERROR(Data!C30/Data!B30-1),"",Data!C30/Data!B30-1)</f>
        <v>-0.09615384615384615</v>
      </c>
      <c r="C258" s="127">
        <f>IF(ISERROR(Data!D30/Data!C30-1),"",Data!D30/Data!C30-1)</f>
        <v>0.5797872340425532</v>
      </c>
      <c r="D258" s="127">
        <f>IF(ISERROR(Data!E30/Data!D30-1),"",Data!E30/Data!D30-1)</f>
        <v>5.612233445566779</v>
      </c>
      <c r="E258" s="127">
        <f>IF(ISERROR(Data!F30/Data!E30-1),"",Data!F30/Data!E30-1)</f>
        <v>0.23542391581091393</v>
      </c>
      <c r="F258" s="127">
        <f>IF(ISERROR(Data!G30/Data!F30-1),"",Data!G30/Data!F30-1)</f>
        <v>0.012846053445078054</v>
      </c>
      <c r="G258" s="127">
        <f>IF(ISERROR((Data!G30/Data!B30)^(1/5)-1),"",(Data!G30/Data!B30)^(1/5)-1)</f>
        <v>0.6386271540529946</v>
      </c>
      <c r="H258" s="47"/>
      <c r="I258" s="47"/>
      <c r="J258" s="47"/>
      <c r="K258" s="47"/>
      <c r="L258" s="47"/>
      <c r="M258" s="47"/>
      <c r="N258" s="47"/>
      <c r="O258" s="47"/>
      <c r="P258" s="47"/>
      <c r="Q258" s="47"/>
      <c r="R258" s="47"/>
      <c r="S258" s="47"/>
    </row>
    <row r="259" spans="1:19" ht="12.75" customHeight="1">
      <c r="A259" s="81" t="str">
        <f>Data!A31</f>
        <v>Deferred tax assets—non current</v>
      </c>
      <c r="B259" s="127">
        <f>IF(ISERROR(Data!C31/Data!B31-1),"",Data!C31/Data!B31-1)</f>
      </c>
      <c r="C259" s="127">
        <f>IF(ISERROR(Data!D31/Data!C31-1),"",Data!D31/Data!C31-1)</f>
      </c>
      <c r="D259" s="127">
        <f>IF(ISERROR(Data!E31/Data!D31-1),"",Data!E31/Data!D31-1)</f>
      </c>
      <c r="E259" s="127">
        <f>IF(ISERROR(Data!F31/Data!E31-1),"",Data!F31/Data!E31-1)</f>
      </c>
      <c r="F259" s="127">
        <f>IF(ISERROR(Data!G31/Data!F31-1),"",Data!G31/Data!F31-1)</f>
      </c>
      <c r="G259" s="127">
        <f>IF(ISERROR((Data!G31/Data!B31)^(1/5)-1),"",(Data!G31/Data!B31)^(1/5)-1)</f>
      </c>
      <c r="H259" s="47"/>
      <c r="I259" s="47"/>
      <c r="J259" s="47"/>
      <c r="K259" s="47"/>
      <c r="L259" s="47"/>
      <c r="M259" s="47"/>
      <c r="N259" s="47"/>
      <c r="O259" s="47"/>
      <c r="P259" s="47"/>
      <c r="Q259" s="47"/>
      <c r="R259" s="47"/>
      <c r="S259" s="47"/>
    </row>
    <row r="260" spans="1:19" ht="12.75" customHeight="1">
      <c r="A260" s="81" t="str">
        <f>Data!A32</f>
        <v>Other assets </v>
      </c>
      <c r="B260" s="127">
        <f>IF(ISERROR(Data!C32/Data!B32-1),"",Data!C32/Data!B32-1)</f>
        <v>0.5802615933412605</v>
      </c>
      <c r="C260" s="127">
        <f>IF(ISERROR(Data!D32/Data!C32-1),"",Data!D32/Data!C32-1)</f>
        <v>-0.6369450714823175</v>
      </c>
      <c r="D260" s="127">
        <f>IF(ISERROR(Data!E32/Data!D32-1),"",Data!E32/Data!D32-1)</f>
        <v>0.7502590673575129</v>
      </c>
      <c r="E260" s="127">
        <f>IF(ISERROR(Data!F32/Data!E32-1),"",Data!F32/Data!E32-1)</f>
        <v>-0.39550029603315573</v>
      </c>
      <c r="F260" s="127">
        <f>IF(ISERROR(Data!G32/Data!F32-1),"",Data!G32/Data!F32-1)</f>
        <v>0.6190009794319296</v>
      </c>
      <c r="G260" s="127">
        <f>IF(ISERROR((Data!G32/Data!B32)^(1/5)-1),"",(Data!G32/Data!B32)^(1/5)-1)</f>
        <v>-0.0034723060960244467</v>
      </c>
      <c r="H260" s="47"/>
      <c r="I260" s="47"/>
      <c r="J260" s="47"/>
      <c r="K260" s="47"/>
      <c r="L260" s="47"/>
      <c r="M260" s="47"/>
      <c r="N260" s="47"/>
      <c r="O260" s="47"/>
      <c r="P260" s="47"/>
      <c r="Q260" s="47"/>
      <c r="R260" s="47"/>
      <c r="S260" s="47"/>
    </row>
    <row r="261" spans="1:19" ht="12.75" customHeight="1">
      <c r="A261" s="548" t="str">
        <f>Data!A33</f>
        <v>   Total Assets</v>
      </c>
      <c r="B261" s="546">
        <f>IF(ISERROR(Data!C33/Data!B33-1),"",Data!C33/Data!B33-1)</f>
        <v>0.03944784567402104</v>
      </c>
      <c r="C261" s="546">
        <f>IF(ISERROR(Data!D33/Data!C33-1),"",Data!D33/Data!C33-1)</f>
        <v>0.10707340112240926</v>
      </c>
      <c r="D261" s="546">
        <f>IF(ISERROR(Data!E33/Data!D33-1),"",Data!E33/Data!D33-1)</f>
        <v>0.7103242320819112</v>
      </c>
      <c r="E261" s="546">
        <f>IF(ISERROR(Data!F33/Data!E33-1),"",Data!F33/Data!E33-1)</f>
        <v>0.06938799465907586</v>
      </c>
      <c r="F261" s="546">
        <f>IF(ISERROR(Data!G33/Data!F33-1),"",Data!G33/Data!F33-1)</f>
        <v>0.02409374056694391</v>
      </c>
      <c r="G261" s="546">
        <f>IF(ISERROR((Data!G33/Data!B33)^(1/5)-1),"",(Data!G33/Data!B33)^(1/5)-1)</f>
        <v>0.16602138881069273</v>
      </c>
      <c r="H261" s="47"/>
      <c r="I261" s="47"/>
      <c r="J261" s="47"/>
      <c r="K261" s="47"/>
      <c r="L261" s="47"/>
      <c r="M261" s="47"/>
      <c r="N261" s="47"/>
      <c r="O261" s="47"/>
      <c r="P261" s="47"/>
      <c r="Q261" s="47"/>
      <c r="R261" s="47"/>
      <c r="S261" s="47"/>
    </row>
    <row r="262" ht="12.75" customHeight="1"/>
    <row r="263" spans="1:19" ht="12.75" customHeight="1">
      <c r="A263" s="542" t="str">
        <f>Data!A35</f>
        <v>Liabilities and Equities:</v>
      </c>
      <c r="B263" s="549">
        <f>IF(ISERROR(Data!C35/Data!B35-1),"",Data!C35/Data!B35-1)</f>
      </c>
      <c r="C263" s="549">
        <f>IF(ISERROR(Data!D35/Data!C35-1),"",Data!D35/Data!C35-1)</f>
      </c>
      <c r="D263" s="549">
        <f>IF(ISERROR(Data!E35/Data!D35-1),"",Data!E35/Data!D35-1)</f>
      </c>
      <c r="E263" s="549">
        <f>IF(ISERROR(Data!F35/Data!E35-1),"",Data!F35/Data!E35-1)</f>
      </c>
      <c r="F263" s="549">
        <f>IF(ISERROR(Data!G35/Data!F35-1),"",Data!G35/Data!F35-1)</f>
      </c>
      <c r="G263" s="549">
        <f>IF(ISERROR((Data!G35/Data!B35)^(1/5)-1),"",(Data!G35/Data!B35)^(1/5)-1)</f>
      </c>
      <c r="H263" s="47"/>
      <c r="I263" s="47"/>
      <c r="J263" s="47"/>
      <c r="K263" s="47"/>
      <c r="L263" s="47"/>
      <c r="M263" s="47"/>
      <c r="N263" s="47"/>
      <c r="O263" s="47"/>
      <c r="P263" s="47"/>
      <c r="Q263" s="47"/>
      <c r="R263" s="47"/>
      <c r="S263" s="47"/>
    </row>
    <row r="264" spans="1:19" ht="12.75" customHeight="1">
      <c r="A264" s="550" t="str">
        <f>Data!A36</f>
        <v>Accounts payable</v>
      </c>
      <c r="B264" s="127">
        <f>IF(ISERROR(Data!C36/Data!B36-1),"",Data!C36/Data!B36-1)</f>
        <v>0.11085089773614354</v>
      </c>
      <c r="C264" s="127">
        <f>IF(ISERROR(Data!D36/Data!C36-1),"",Data!D36/Data!C36-1)</f>
        <v>0.012297962052002731</v>
      </c>
      <c r="D264" s="127">
        <f>IF(ISERROR(Data!E36/Data!D36-1),"",Data!E36/Data!D36-1)</f>
        <v>0.3415480735855605</v>
      </c>
      <c r="E264" s="127">
        <f>IF(ISERROR(Data!F36/Data!E36-1),"",Data!F36/Data!E36-1)</f>
        <v>0.05640362225097029</v>
      </c>
      <c r="F264" s="127">
        <f>IF(ISERROR(Data!G36/Data!F36-1),"",Data!G36/Data!F36-1)</f>
        <v>0.0901298065148175</v>
      </c>
      <c r="G264" s="127">
        <f>IF(ISERROR((Data!G36/Data!B36)^(1/5)-1),"",(Data!G36/Data!B36)^(1/5)-1)</f>
        <v>0.11680074187469924</v>
      </c>
      <c r="H264" s="47"/>
      <c r="I264" s="47"/>
      <c r="J264" s="47"/>
      <c r="K264" s="47"/>
      <c r="L264" s="47"/>
      <c r="M264" s="47"/>
      <c r="N264" s="47"/>
      <c r="O264" s="47"/>
      <c r="P264" s="47"/>
      <c r="Q264" s="47"/>
      <c r="R264" s="47"/>
      <c r="S264" s="47"/>
    </row>
    <row r="265" spans="1:19" ht="12.75" customHeight="1">
      <c r="A265" s="140" t="str">
        <f>Data!A37</f>
        <v>Current accrued expenses</v>
      </c>
      <c r="B265" s="127">
        <f>IF(ISERROR(Data!C37/Data!B37-1),"",Data!C37/Data!B37-1)</f>
        <v>0.07678571428571423</v>
      </c>
      <c r="C265" s="127">
        <f>IF(ISERROR(Data!D37/Data!C37-1),"",Data!D37/Data!C37-1)</f>
        <v>-0.03335175971991888</v>
      </c>
      <c r="D265" s="127">
        <f>IF(ISERROR(Data!E37/Data!D37-1),"",Data!E37/Data!D37-1)</f>
        <v>0.34540602363705686</v>
      </c>
      <c r="E265" s="127">
        <f>IF(ISERROR(Data!F37/Data!E37-1),"",Data!F37/Data!E37-1)</f>
        <v>0.08727684896571275</v>
      </c>
      <c r="F265" s="127">
        <f>IF(ISERROR(Data!G37/Data!F37-1),"",Data!G37/Data!F37-1)</f>
        <v>-0.02892885066458173</v>
      </c>
      <c r="G265" s="127">
        <f>IF(ISERROR((Data!G37/Data!B37)^(1/5)-1),"",(Data!G37/Data!B37)^(1/5)-1)</f>
        <v>0.0813554214641683</v>
      </c>
      <c r="H265" s="47"/>
      <c r="I265" s="47"/>
      <c r="J265" s="47"/>
      <c r="K265" s="47"/>
      <c r="L265" s="47"/>
      <c r="M265" s="47"/>
      <c r="N265" s="47"/>
      <c r="O265" s="47"/>
      <c r="P265" s="47"/>
      <c r="Q265" s="47"/>
      <c r="R265" s="47"/>
      <c r="S265" s="47"/>
    </row>
    <row r="266" spans="1:19" ht="12.75" customHeight="1">
      <c r="A266" s="140" t="str">
        <f>Data!A38</f>
        <v>Notes payable and short-term debt</v>
      </c>
      <c r="B266" s="127">
        <f>IF(ISERROR(Data!C38/Data!B38-1),"",Data!C38/Data!B38-1)</f>
      </c>
      <c r="C266" s="127">
        <f>IF(ISERROR(Data!D38/Data!C38-1),"",Data!D38/Data!C38-1)</f>
        <v>0.2574525745257452</v>
      </c>
      <c r="D266" s="127">
        <f>IF(ISERROR(Data!E38/Data!D38-1),"",Data!E38/Data!D38-1)</f>
        <v>9.556034482758621</v>
      </c>
      <c r="E266" s="127">
        <f>IF(ISERROR(Data!F38/Data!E38-1),"",Data!F38/Data!E38-1)</f>
        <v>0.26684360963658627</v>
      </c>
      <c r="F266" s="127">
        <f>IF(ISERROR(Data!G38/Data!F38-1),"",Data!G38/Data!F38-1)</f>
        <v>-0.22401289282836423</v>
      </c>
      <c r="G266" s="127">
        <f>IF(ISERROR((Data!G38/Data!B38)^(1/5)-1),"",(Data!G38/Data!B38)^(1/5)-1)</f>
      </c>
      <c r="H266" s="47"/>
      <c r="I266" s="47"/>
      <c r="J266" s="47"/>
      <c r="K266" s="47"/>
      <c r="L266" s="47"/>
      <c r="M266" s="47"/>
      <c r="N266" s="47"/>
      <c r="O266" s="47"/>
      <c r="P266" s="47"/>
      <c r="Q266" s="47"/>
      <c r="R266" s="47"/>
      <c r="S266" s="47"/>
    </row>
    <row r="267" spans="1:19" ht="12.75" customHeight="1">
      <c r="A267" s="140" t="str">
        <f>Data!A39</f>
        <v>Current maturities of long-term debt</v>
      </c>
      <c r="B267" s="127">
        <f>IF(ISERROR(Data!C39/Data!B39-1),"",Data!C39/Data!B39-1)</f>
      </c>
      <c r="C267" s="127">
        <f>IF(ISERROR(Data!D39/Data!C39-1),"",Data!D39/Data!C39-1)</f>
      </c>
      <c r="D267" s="127">
        <f>IF(ISERROR(Data!E39/Data!D39-1),"",Data!E39/Data!D39-1)</f>
      </c>
      <c r="E267" s="127">
        <f>IF(ISERROR(Data!F39/Data!E39-1),"",Data!F39/Data!E39-1)</f>
      </c>
      <c r="F267" s="127">
        <f>IF(ISERROR(Data!G39/Data!F39-1),"",Data!G39/Data!F39-1)</f>
      </c>
      <c r="G267" s="127">
        <f>IF(ISERROR((Data!G39/Data!B39)^(1/5)-1),"",(Data!G39/Data!B39)^(1/5)-1)</f>
      </c>
      <c r="H267" s="47"/>
      <c r="I267" s="47"/>
      <c r="J267" s="47"/>
      <c r="K267" s="47"/>
      <c r="L267" s="47"/>
      <c r="M267" s="47"/>
      <c r="N267" s="47"/>
      <c r="O267" s="47"/>
      <c r="P267" s="47"/>
      <c r="Q267" s="47"/>
      <c r="R267" s="47"/>
      <c r="S267" s="47"/>
    </row>
    <row r="268" spans="1:19" ht="12.75" customHeight="1">
      <c r="A268" s="140" t="str">
        <f>Data!A40</f>
        <v>Deferred tax liabilities—current</v>
      </c>
      <c r="B268" s="127">
        <f>IF(ISERROR(Data!C40/Data!B40-1),"",Data!C40/Data!B40-1)</f>
      </c>
      <c r="C268" s="127">
        <f>IF(ISERROR(Data!D40/Data!C40-1),"",Data!D40/Data!C40-1)</f>
      </c>
      <c r="D268" s="127">
        <f>IF(ISERROR(Data!E40/Data!D40-1),"",Data!E40/Data!D40-1)</f>
      </c>
      <c r="E268" s="127">
        <f>IF(ISERROR(Data!F40/Data!E40-1),"",Data!F40/Data!E40-1)</f>
      </c>
      <c r="F268" s="127">
        <f>IF(ISERROR(Data!G40/Data!F40-1),"",Data!G40/Data!F40-1)</f>
      </c>
      <c r="G268" s="127">
        <f>IF(ISERROR((Data!G40/Data!B40)^(1/5)-1),"",(Data!G40/Data!B40)^(1/5)-1)</f>
      </c>
      <c r="H268" s="47"/>
      <c r="I268" s="47"/>
      <c r="J268" s="47"/>
      <c r="K268" s="47"/>
      <c r="L268" s="47"/>
      <c r="M268" s="47"/>
      <c r="N268" s="47"/>
      <c r="O268" s="47"/>
      <c r="P268" s="47"/>
      <c r="Q268" s="47"/>
      <c r="R268" s="47"/>
      <c r="S268" s="47"/>
    </row>
    <row r="269" spans="1:19" ht="12.75" customHeight="1">
      <c r="A269" s="140" t="str">
        <f>Data!A41</f>
        <v>Income taxes payable</v>
      </c>
      <c r="B269" s="127">
        <f>IF(ISERROR(Data!C41/Data!B41-1),"",Data!C41/Data!B41-1)</f>
        <v>-0.039735099337748325</v>
      </c>
      <c r="C269" s="127">
        <f>IF(ISERROR(Data!D41/Data!C41-1),"",Data!D41/Data!C41-1)</f>
        <v>0.13793103448275867</v>
      </c>
      <c r="D269" s="127">
        <f>IF(ISERROR(Data!E41/Data!D41-1),"",Data!E41/Data!D41-1)</f>
        <v>-0.5696969696969697</v>
      </c>
      <c r="E269" s="127">
        <f>IF(ISERROR(Data!F41/Data!E41-1),"",Data!F41/Data!E41-1)</f>
        <v>1.704225352112676</v>
      </c>
      <c r="F269" s="127">
        <f>IF(ISERROR(Data!G41/Data!F41-1),"",Data!G41/Data!F41-1)</f>
        <v>0.9322916666666667</v>
      </c>
      <c r="G269" s="127">
        <f>IF(ISERROR((Data!G41/Data!B41)^(1/5)-1),"",(Data!G41/Data!B41)^(1/5)-1)</f>
        <v>0.19695932493455337</v>
      </c>
      <c r="H269" s="47"/>
      <c r="I269" s="47"/>
      <c r="J269" s="47"/>
      <c r="K269" s="47"/>
      <c r="L269" s="47"/>
      <c r="M269" s="47"/>
      <c r="N269" s="47"/>
      <c r="O269" s="47"/>
      <c r="P269" s="47"/>
      <c r="Q269" s="47"/>
      <c r="R269" s="47"/>
      <c r="S269" s="47"/>
    </row>
    <row r="270" spans="1:19" ht="12.75" customHeight="1">
      <c r="A270" s="140" t="str">
        <f>Data!A42</f>
        <v>Other current liabilities (2)</v>
      </c>
      <c r="B270" s="127">
        <f>IF(ISERROR(Data!C42/Data!B42-1),"",Data!C42/Data!B42-1)</f>
      </c>
      <c r="C270" s="127">
        <f>IF(ISERROR(Data!D42/Data!C42-1),"",Data!D42/Data!C42-1)</f>
      </c>
      <c r="D270" s="127">
        <f>IF(ISERROR(Data!E42/Data!D42-1),"",Data!E42/Data!D42-1)</f>
      </c>
      <c r="E270" s="127">
        <f>IF(ISERROR(Data!F42/Data!E42-1),"",Data!F42/Data!E42-1)</f>
      </c>
      <c r="F270" s="127">
        <f>IF(ISERROR(Data!G42/Data!F42-1),"",Data!G42/Data!F42-1)</f>
      </c>
      <c r="G270" s="127">
        <f>IF(ISERROR((Data!G42/Data!B42)^(1/5)-1),"",(Data!G42/Data!B42)^(1/5)-1)</f>
      </c>
      <c r="H270" s="47"/>
      <c r="I270" s="47"/>
      <c r="J270" s="47"/>
      <c r="K270" s="47"/>
      <c r="L270" s="47"/>
      <c r="M270" s="47"/>
      <c r="N270" s="47"/>
      <c r="O270" s="47"/>
      <c r="P270" s="47"/>
      <c r="Q270" s="47"/>
      <c r="R270" s="47"/>
      <c r="S270" s="47"/>
    </row>
    <row r="271" spans="1:19" ht="12.75" customHeight="1">
      <c r="A271" s="140" t="str">
        <f>Data!A43</f>
        <v>Other current liabilities (1)</v>
      </c>
      <c r="B271" s="127">
        <f>IF(ISERROR(Data!C43/Data!B43-1),"",Data!C43/Data!B43-1)</f>
      </c>
      <c r="C271" s="127">
        <f>IF(ISERROR(Data!D43/Data!C43-1),"",Data!D43/Data!C43-1)</f>
      </c>
      <c r="D271" s="127">
        <f>IF(ISERROR(Data!E43/Data!D43-1),"",Data!E43/Data!D43-1)</f>
      </c>
      <c r="E271" s="127">
        <f>IF(ISERROR(Data!F43/Data!E43-1),"",Data!F43/Data!E43-1)</f>
      </c>
      <c r="F271" s="127">
        <f>IF(ISERROR(Data!G43/Data!F43-1),"",Data!G43/Data!F43-1)</f>
      </c>
      <c r="G271" s="127">
        <f>IF(ISERROR((Data!G43/Data!B43)^(1/5)-1),"",(Data!G43/Data!B43)^(1/5)-1)</f>
      </c>
      <c r="H271" s="47"/>
      <c r="I271" s="47"/>
      <c r="J271" s="47"/>
      <c r="K271" s="47"/>
      <c r="L271" s="47"/>
      <c r="M271" s="47"/>
      <c r="N271" s="47"/>
      <c r="O271" s="47"/>
      <c r="P271" s="47"/>
      <c r="Q271" s="47"/>
      <c r="R271" s="47"/>
      <c r="S271" s="47"/>
    </row>
    <row r="272" spans="1:7" ht="12.75" customHeight="1">
      <c r="A272" s="542" t="str">
        <f>Data!A44</f>
        <v>  Current Liabilities</v>
      </c>
      <c r="B272" s="546">
        <f>IF(ISERROR(Data!C44/Data!B44-1),"",Data!C44/Data!B44-1)</f>
        <v>0.13336772862117896</v>
      </c>
      <c r="C272" s="546">
        <f>IF(ISERROR(Data!D44/Data!C44-1),"",Data!D44/Data!C44-1)</f>
        <v>-0.0035279390007966205</v>
      </c>
      <c r="D272" s="546">
        <f>IF(ISERROR(Data!E44/Data!D44-1),"",Data!E44/Data!D44-1)</f>
        <v>0.8149840109639104</v>
      </c>
      <c r="E272" s="546">
        <f>IF(ISERROR(Data!F44/Data!E44-1),"",Data!F44/Data!E44-1)</f>
        <v>0.14233576642335777</v>
      </c>
      <c r="F272" s="546">
        <f>IF(ISERROR(Data!G44/Data!F44-1),"",Data!G44/Data!F44-1)</f>
        <v>-0.058664757078329854</v>
      </c>
      <c r="G272" s="546">
        <f>IF(ISERROR((Data!G44/Data!B44)^(1/5)-1),"",(Data!G44/Data!B44)^(1/5)-1)</f>
        <v>0.17124937773272042</v>
      </c>
    </row>
    <row r="273" spans="1:19" ht="12.75" customHeight="1">
      <c r="A273" s="521" t="str">
        <f>Data!A45</f>
        <v>Long-term debt obligations</v>
      </c>
      <c r="B273" s="547">
        <f>IF(ISERROR(Data!C45/Data!B45-1),"",Data!C45/Data!B45-1)</f>
        <v>0.8696169402807519</v>
      </c>
      <c r="C273" s="547">
        <f>IF(ISERROR(Data!D45/Data!C45-1),"",Data!D45/Data!C45-1)</f>
        <v>-0.05828455077627892</v>
      </c>
      <c r="D273" s="547">
        <f>IF(ISERROR(Data!E45/Data!D45-1),"",Data!E45/Data!D45-1)</f>
        <v>1.7025675675675678</v>
      </c>
      <c r="E273" s="547">
        <f>IF(ISERROR(Data!F45/Data!E45-1),"",Data!F45/Data!E45-1)</f>
        <v>0.028451422571128537</v>
      </c>
      <c r="F273" s="547">
        <f>IF(ISERROR(Data!G45/Data!F45-1),"",Data!G45/Data!F45-1)</f>
        <v>0.14469078179696626</v>
      </c>
      <c r="G273" s="547">
        <f>IF(ISERROR((Data!G45/Data!B45)^(1/5)-1),"",(Data!G45/Data!B45)^(1/5)-1)</f>
        <v>0.4114456897293064</v>
      </c>
      <c r="H273" s="47"/>
      <c r="I273" s="47"/>
      <c r="J273" s="47"/>
      <c r="K273" s="47"/>
      <c r="L273" s="47"/>
      <c r="M273" s="47"/>
      <c r="N273" s="47"/>
      <c r="O273" s="47"/>
      <c r="P273" s="47"/>
      <c r="Q273" s="47"/>
      <c r="R273" s="47"/>
      <c r="S273" s="47"/>
    </row>
    <row r="274" spans="1:19" ht="12.75" customHeight="1">
      <c r="A274" s="81" t="str">
        <f>Data!A46</f>
        <v>Long-term accrued liabilities</v>
      </c>
      <c r="B274" s="127">
        <f>IF(ISERROR(Data!C46/Data!B46-1),"",Data!C46/Data!B46-1)</f>
        <v>0.382875264270613</v>
      </c>
      <c r="C274" s="127">
        <f>IF(ISERROR(Data!D46/Data!C46-1),"",Data!D46/Data!C46-1)</f>
        <v>-0.14523773123375627</v>
      </c>
      <c r="D274" s="127">
        <f>IF(ISERROR(Data!E46/Data!D46-1),"",Data!E46/Data!D46-1)</f>
        <v>0.2035414058307996</v>
      </c>
      <c r="E274" s="127">
        <f>IF(ISERROR(Data!F46/Data!E46-1),"",Data!F46/Data!E46-1)</f>
        <v>0.22841432605141931</v>
      </c>
      <c r="F274" s="127">
        <f>IF(ISERROR(Data!G46/Data!F46-1),"",Data!G46/Data!F46-1)</f>
        <v>-0.2084442293733365</v>
      </c>
      <c r="G274" s="127">
        <f>IF(ISERROR((Data!G46/Data!B46)^(1/5)-1),"",(Data!G46/Data!B46)^(1/5)-1)</f>
        <v>0.06704603388806185</v>
      </c>
      <c r="H274" s="47"/>
      <c r="I274" s="47"/>
      <c r="J274" s="47"/>
      <c r="K274" s="47"/>
      <c r="L274" s="47"/>
      <c r="M274" s="47"/>
      <c r="N274" s="47"/>
      <c r="O274" s="47"/>
      <c r="P274" s="47"/>
      <c r="Q274" s="47"/>
      <c r="R274" s="47"/>
      <c r="S274" s="47"/>
    </row>
    <row r="275" spans="1:19" ht="12.75" customHeight="1">
      <c r="A275" s="81" t="str">
        <f>Data!A47</f>
        <v>Deferred tax liabilities—noncurrent</v>
      </c>
      <c r="B275" s="127">
        <f>IF(ISERROR(Data!C47/Data!B47-1),"",Data!C47/Data!B47-1)</f>
        <v>-0.6501547987616099</v>
      </c>
      <c r="C275" s="127">
        <f>IF(ISERROR(Data!D47/Data!C47-1),"",Data!D47/Data!C47-1)</f>
        <v>1.915929203539823</v>
      </c>
      <c r="D275" s="127">
        <f>IF(ISERROR(Data!E47/Data!D47-1),"",Data!E47/Data!D47-1)</f>
        <v>5.156297420333839</v>
      </c>
      <c r="E275" s="127">
        <f>IF(ISERROR(Data!F47/Data!E47-1),"",Data!F47/Data!E47-1)</f>
        <v>0.23120532413113137</v>
      </c>
      <c r="F275" s="127">
        <f>IF(ISERROR(Data!G47/Data!F47-1),"",Data!G47/Data!F47-1)</f>
        <v>0.013613613613613573</v>
      </c>
      <c r="G275" s="127">
        <f>IF(ISERROR((Data!G47/Data!B47)^(1/5)-1),"",(Data!G47/Data!B47)^(1/5)-1)</f>
        <v>0.5095068281974919</v>
      </c>
      <c r="H275" s="47"/>
      <c r="I275" s="47"/>
      <c r="J275" s="47"/>
      <c r="K275" s="47"/>
      <c r="L275" s="47"/>
      <c r="M275" s="47"/>
      <c r="N275" s="47"/>
      <c r="O275" s="47"/>
      <c r="P275" s="47"/>
      <c r="Q275" s="47"/>
      <c r="R275" s="47"/>
      <c r="S275" s="47"/>
    </row>
    <row r="276" spans="1:7" ht="12.75" customHeight="1">
      <c r="A276" s="81" t="str">
        <f>Data!A48</f>
        <v>Other noncurrent liabilities (1)</v>
      </c>
      <c r="B276" s="127">
        <f>IF(ISERROR(Data!C48/Data!B48-1),"",Data!C48/Data!B48-1)</f>
      </c>
      <c r="C276" s="127">
        <f>IF(ISERROR(Data!D48/Data!C48-1),"",Data!D48/Data!C48-1)</f>
      </c>
      <c r="D276" s="127">
        <f>IF(ISERROR(Data!E48/Data!D48-1),"",Data!E48/Data!D48-1)</f>
      </c>
      <c r="E276" s="127">
        <f>IF(ISERROR(Data!F48/Data!E48-1),"",Data!F48/Data!E48-1)</f>
      </c>
      <c r="F276" s="127">
        <f>IF(ISERROR(Data!G48/Data!F48-1),"",Data!G48/Data!F48-1)</f>
      </c>
      <c r="G276" s="127">
        <f>IF(ISERROR((Data!G48/Data!B48)^(1/5)-1),"",(Data!G48/Data!B48)^(1/5)-1)</f>
      </c>
    </row>
    <row r="277" spans="1:19" ht="12.75" customHeight="1">
      <c r="A277" s="81" t="str">
        <f>Data!A49</f>
        <v>Other noncurrent liabilities (2)</v>
      </c>
      <c r="B277" s="127">
        <f>IF(ISERROR(Data!C49/Data!B49-1),"",Data!C49/Data!B49-1)</f>
      </c>
      <c r="C277" s="127">
        <f>IF(ISERROR(Data!D49/Data!C49-1),"",Data!D49/Data!C49-1)</f>
      </c>
      <c r="D277" s="127">
        <f>IF(ISERROR(Data!E49/Data!D49-1),"",Data!E49/Data!D49-1)</f>
      </c>
      <c r="E277" s="127">
        <f>IF(ISERROR(Data!F49/Data!E49-1),"",Data!F49/Data!E49-1)</f>
      </c>
      <c r="F277" s="127">
        <f>IF(ISERROR(Data!G49/Data!F49-1),"",Data!G49/Data!F49-1)</f>
      </c>
      <c r="G277" s="127">
        <f>IF(ISERROR((Data!G49/Data!B49)^(1/5)-1),"",(Data!G49/Data!B49)^(1/5)-1)</f>
      </c>
      <c r="H277" s="47"/>
      <c r="I277" s="47"/>
      <c r="J277" s="47"/>
      <c r="K277" s="47"/>
      <c r="L277" s="47"/>
      <c r="M277" s="47"/>
      <c r="N277" s="47"/>
      <c r="O277" s="47"/>
      <c r="P277" s="47"/>
      <c r="Q277" s="47"/>
      <c r="R277" s="47"/>
      <c r="S277" s="47"/>
    </row>
    <row r="278" spans="1:19" ht="12.75" customHeight="1">
      <c r="A278" s="542" t="str">
        <f>Data!A50</f>
        <v>  Total Liabilities</v>
      </c>
      <c r="B278" s="546">
        <f>IF(ISERROR(Data!C50/Data!B50-1),"",Data!C50/Data!B50-1)</f>
        <v>0.3507962150934687</v>
      </c>
      <c r="C278" s="546">
        <f>IF(ISERROR(Data!D50/Data!C50-1),"",Data!D50/Data!C50-1)</f>
        <v>-0.04296941739279003</v>
      </c>
      <c r="D278" s="546">
        <f>IF(ISERROR(Data!E50/Data!D50-1),"",Data!E50/Data!D50-1)</f>
        <v>1.08323663304472</v>
      </c>
      <c r="E278" s="546">
        <f>IF(ISERROR(Data!F50/Data!E50-1),"",Data!F50/Data!E50-1)</f>
        <v>0.11367482914497495</v>
      </c>
      <c r="F278" s="546">
        <f>IF(ISERROR(Data!G50/Data!F50-1),"",Data!G50/Data!F50-1)</f>
        <v>0.004924686916876642</v>
      </c>
      <c r="G278" s="546">
        <f>IF(ISERROR((Data!G50/Data!B50)^(1/5)-1),"",(Data!G50/Data!B50)^(1/5)-1)</f>
        <v>0.24689313792560186</v>
      </c>
      <c r="H278" s="47"/>
      <c r="I278" s="47"/>
      <c r="J278" s="47"/>
      <c r="K278" s="47"/>
      <c r="L278" s="47"/>
      <c r="M278" s="47"/>
      <c r="N278" s="47"/>
      <c r="O278" s="47"/>
      <c r="P278" s="47"/>
      <c r="Q278" s="47"/>
      <c r="R278" s="47"/>
      <c r="S278" s="47"/>
    </row>
    <row r="279" spans="1:19" ht="12.75" customHeight="1">
      <c r="A279" s="102"/>
      <c r="B279" s="131"/>
      <c r="C279" s="131"/>
      <c r="D279" s="131"/>
      <c r="E279" s="131"/>
      <c r="F279" s="131"/>
      <c r="G279" s="131"/>
      <c r="H279" s="47"/>
      <c r="I279" s="47"/>
      <c r="J279" s="47"/>
      <c r="K279" s="47"/>
      <c r="L279" s="47"/>
      <c r="M279" s="47"/>
      <c r="N279" s="47"/>
      <c r="O279" s="47"/>
      <c r="P279" s="47"/>
      <c r="Q279" s="47"/>
      <c r="R279" s="47"/>
      <c r="S279" s="47"/>
    </row>
    <row r="280" spans="1:7" ht="12.75" customHeight="1">
      <c r="A280" s="81" t="str">
        <f>Data!A52</f>
        <v>Preferred stock</v>
      </c>
      <c r="B280" s="127">
        <f>IF(ISERROR(Data!C52/Data!B52-1),"",Data!C52/Data!B52-1)</f>
        <v>0.06593406593406592</v>
      </c>
      <c r="C280" s="127">
        <f>IF(ISERROR(Data!D52/Data!C52-1),"",Data!D52/Data!C52-1)</f>
        <v>0.07216494845360821</v>
      </c>
      <c r="D280" s="127">
        <f>IF(ISERROR(Data!E52/Data!D52-1),"",Data!E52/Data!D52-1)</f>
        <v>0.04807692307692313</v>
      </c>
      <c r="E280" s="127">
        <f>IF(ISERROR(Data!F52/Data!E52-1),"",Data!F52/Data!E52-1)</f>
        <v>0.06422018348623859</v>
      </c>
      <c r="F280" s="127">
        <f>IF(ISERROR(Data!G52/Data!F52-1),"",Data!G52/Data!F52-1)</f>
        <v>0.06034482758620685</v>
      </c>
      <c r="G280" s="127">
        <f>IF(ISERROR((Data!G52/Data!B52)^(1/5)-1),"",(Data!G52/Data!B52)^(1/5)-1)</f>
        <v>0.06211793841058033</v>
      </c>
    </row>
    <row r="281" spans="1:19" ht="12.75" customHeight="1">
      <c r="A281" s="81" t="str">
        <f>Data!A53</f>
        <v>Common stock + Additional paid in capital</v>
      </c>
      <c r="B281" s="127">
        <f>IF(ISERROR(Data!C53/Data!B53-1),"",Data!C53/Data!B53-1)</f>
        <v>-0.20625000000000004</v>
      </c>
      <c r="C281" s="127">
        <f>IF(ISERROR(Data!D53/Data!C53-1),"",Data!D53/Data!C53-1)</f>
        <v>-0.2650918635170604</v>
      </c>
      <c r="D281" s="127">
        <f>IF(ISERROR(Data!E53/Data!D53-1),"",Data!E53/Data!D53-1)</f>
        <v>15.278571428571428</v>
      </c>
      <c r="E281" s="127">
        <f>IF(ISERROR(Data!F53/Data!E53-1),"",Data!F53/Data!E53-1)</f>
        <v>-0.01557700745941204</v>
      </c>
      <c r="F281" s="127">
        <f>IF(ISERROR(Data!G53/Data!F53-1),"",Data!G53/Data!F53-1)</f>
        <v>-0.06307109427234237</v>
      </c>
      <c r="G281" s="127">
        <f>IF(ISERROR((Data!G53/Data!B53)^(1/5)-1),"",(Data!G53/Data!B53)^(1/5)-1)</f>
        <v>0.5434206054190385</v>
      </c>
      <c r="H281" s="47"/>
      <c r="I281" s="47"/>
      <c r="J281" s="47"/>
      <c r="K281" s="47"/>
      <c r="L281" s="47"/>
      <c r="M281" s="47"/>
      <c r="N281" s="47"/>
      <c r="O281" s="47"/>
      <c r="P281" s="47"/>
      <c r="Q281" s="47"/>
      <c r="R281" s="47"/>
      <c r="S281" s="47"/>
    </row>
    <row r="282" spans="1:19" ht="12.75" customHeight="1">
      <c r="A282" s="140" t="str">
        <f>Data!A54</f>
        <v>Retained earnings &lt;deficit&gt;</v>
      </c>
      <c r="B282" s="127">
        <f>IF(ISERROR(Data!C54/Data!B54-1),"",Data!C54/Data!B54-1)</f>
        <v>0.08707067839909177</v>
      </c>
      <c r="C282" s="127">
        <f>IF(ISERROR(Data!D54/Data!C54-1),"",Data!D54/Data!C54-1)</f>
        <v>0.10336836608133693</v>
      </c>
      <c r="D282" s="127">
        <f>IF(ISERROR(Data!E54/Data!D54-1),"",Data!E54/Data!D54-1)</f>
        <v>0.09717497411625509</v>
      </c>
      <c r="E282" s="127">
        <f>IF(ISERROR(Data!F54/Data!E54-1),"",Data!F54/Data!E54-1)</f>
        <v>0.08697762200053916</v>
      </c>
      <c r="F282" s="127">
        <f>IF(ISERROR(Data!G54/Data!F54-1),"",Data!G54/Data!F54-1)</f>
        <v>0.07049310447465018</v>
      </c>
      <c r="G282" s="127">
        <f>IF(ISERROR((Data!G54/Data!B54)^(1/5)-1),"",(Data!G54/Data!B54)^(1/5)-1)</f>
        <v>0.08895952029630716</v>
      </c>
      <c r="H282" s="47"/>
      <c r="I282" s="47"/>
      <c r="J282" s="47"/>
      <c r="K282" s="47"/>
      <c r="L282" s="47"/>
      <c r="M282" s="47"/>
      <c r="N282" s="47"/>
      <c r="O282" s="47"/>
      <c r="P282" s="47"/>
      <c r="Q282" s="47"/>
      <c r="R282" s="47"/>
      <c r="S282" s="47"/>
    </row>
    <row r="283" spans="1:7" ht="12.75" customHeight="1">
      <c r="A283" s="81" t="str">
        <f>Data!A55</f>
        <v>Accum. other comprehensive income &lt;loss&gt;</v>
      </c>
      <c r="B283" s="127">
        <f>IF(ISERROR(Data!C55/Data!B55-1),"",Data!C55/Data!B55-1)</f>
        <v>3.9306722689075633</v>
      </c>
      <c r="C283" s="127">
        <f>IF(ISERROR(Data!D55/Data!C55-1),"",Data!D55/Data!C55-1)</f>
        <v>-0.19173412867490414</v>
      </c>
      <c r="D283" s="127">
        <f>IF(ISERROR(Data!E55/Data!D55-1),"",Data!E55/Data!D55-1)</f>
        <v>-0.04322614654717971</v>
      </c>
      <c r="E283" s="127">
        <f>IF(ISERROR(Data!F55/Data!E55-1),"",Data!F55/Data!E55-1)</f>
        <v>0.7159779614325068</v>
      </c>
      <c r="F283" s="127">
        <f>IF(ISERROR(Data!G55/Data!F55-1),"",Data!G55/Data!F55-1)</f>
        <v>-0.11912024401990684</v>
      </c>
      <c r="G283" s="127">
        <f>IF(ISERROR((Data!G55/Data!B55)^(1/5)-1),"",(Data!G55/Data!B55)^(1/5)-1)</f>
        <v>0.4195137458269318</v>
      </c>
    </row>
    <row r="284" spans="1:19" ht="12.75" customHeight="1">
      <c r="A284" s="81" t="str">
        <f>Data!A56</f>
        <v>&lt;Treasury stock&gt; and other equity adjustments</v>
      </c>
      <c r="B284" s="127">
        <f>IF(ISERROR(Data!C56/Data!B56-1),"",Data!C56/Data!B56-1)</f>
        <v>0.3595840955039953</v>
      </c>
      <c r="C284" s="127">
        <f>IF(ISERROR(Data!D56/Data!C56-1),"",Data!D56/Data!C56-1)</f>
        <v>-0.05232969834301093</v>
      </c>
      <c r="D284" s="127">
        <f>IF(ISERROR(Data!E56/Data!D56-1),"",Data!E56/Data!D56-1)</f>
        <v>0.25121422700440865</v>
      </c>
      <c r="E284" s="127">
        <f>IF(ISERROR(Data!F56/Data!E56-1),"",Data!F56/Data!E56-1)</f>
        <v>0.06718423409973129</v>
      </c>
      <c r="F284" s="127">
        <f>IF(ISERROR(Data!G56/Data!F56-1),"",Data!G56/Data!F56-1)</f>
        <v>0.08886401790710696</v>
      </c>
      <c r="G284" s="127">
        <f>IF(ISERROR((Data!G56/Data!B56)^(1/5)-1),"",(Data!G56/Data!B56)^(1/5)-1)</f>
        <v>0.13376126047713566</v>
      </c>
      <c r="H284" s="47"/>
      <c r="I284" s="47"/>
      <c r="J284" s="47"/>
      <c r="K284" s="47"/>
      <c r="L284" s="47"/>
      <c r="M284" s="47"/>
      <c r="N284" s="47"/>
      <c r="O284" s="47"/>
      <c r="P284" s="47"/>
      <c r="Q284" s="47"/>
      <c r="R284" s="47"/>
      <c r="S284" s="47"/>
    </row>
    <row r="285" spans="1:19" ht="12.75" customHeight="1">
      <c r="A285" s="542" t="str">
        <f>Data!A57</f>
        <v> Total Common Shareholders' Equity</v>
      </c>
      <c r="B285" s="546">
        <f>IF(ISERROR(Data!C57/Data!B57-1),"",Data!C57/Data!B57-1)</f>
        <v>-0.2956421356421356</v>
      </c>
      <c r="C285" s="546">
        <f>IF(ISERROR(Data!D57/Data!C57-1),"",Data!D57/Data!C57-1)</f>
        <v>0.3855609276407441</v>
      </c>
      <c r="D285" s="546">
        <f>IF(ISERROR(Data!E57/Data!D57-1),"",Data!E57/Data!D57-1)</f>
        <v>0.2581618168914124</v>
      </c>
      <c r="E285" s="546">
        <f>IF(ISERROR(Data!F57/Data!E57-1),"",Data!F57/Data!E57-1)</f>
        <v>-0.02674752033093597</v>
      </c>
      <c r="F285" s="546">
        <f>IF(ISERROR(Data!G57/Data!F57-1),"",Data!G57/Data!F57-1)</f>
        <v>0.08273763523956723</v>
      </c>
      <c r="G285" s="546">
        <f>IF(ISERROR((Data!G57/Data!B57)^(1/5)-1),"",(Data!G57/Data!B57)^(1/5)-1)</f>
        <v>0.0528847846758147</v>
      </c>
      <c r="H285" s="47"/>
      <c r="I285" s="47"/>
      <c r="J285" s="47"/>
      <c r="K285" s="47"/>
      <c r="L285" s="47"/>
      <c r="M285" s="47"/>
      <c r="N285" s="47"/>
      <c r="O285" s="47"/>
      <c r="P285" s="47"/>
      <c r="Q285" s="47"/>
      <c r="R285" s="47"/>
      <c r="S285" s="47"/>
    </row>
    <row r="286" spans="1:7" ht="12.75" customHeight="1">
      <c r="A286" s="551" t="str">
        <f>Data!A58</f>
        <v>Noncontrolling interests</v>
      </c>
      <c r="B286" s="552">
        <f>IF(ISERROR(Data!C58/Data!B58-1),"",Data!C58/Data!B58-1)</f>
        <v>6.67741935483871</v>
      </c>
      <c r="C286" s="552">
        <f>IF(ISERROR(Data!D58/Data!C58-1),"",Data!D58/Data!C58-1)</f>
        <v>0.3403361344537814</v>
      </c>
      <c r="D286" s="552">
        <f>IF(ISERROR(Data!E58/Data!D58-1),"",Data!E58/Data!D58-1)</f>
        <v>-0.5109717868338558</v>
      </c>
      <c r="E286" s="552">
        <f>IF(ISERROR(Data!F58/Data!E58-1),"",Data!F58/Data!E58-1)</f>
        <v>-0.0032051282051281937</v>
      </c>
      <c r="F286" s="552">
        <f>IF(ISERROR(Data!G58/Data!F58-1),"",Data!G58/Data!F58-1)</f>
        <v>-0.662379421221865</v>
      </c>
      <c r="G286" s="552">
        <f>IF(ISERROR((Data!G58/Data!B58)^(1/5)-1),"",(Data!G58/Data!B58)^(1/5)-1)</f>
        <v>0.11111630819510987</v>
      </c>
    </row>
    <row r="287" spans="1:19" ht="12.75" customHeight="1">
      <c r="A287" s="542" t="str">
        <f>Data!A59</f>
        <v>  Total Equity</v>
      </c>
      <c r="B287" s="546">
        <f>IF(ISERROR(Data!C59/Data!B59-1),"",Data!C59/Data!B59-1)</f>
        <v>-0.2725485661424607</v>
      </c>
      <c r="C287" s="546">
        <f>IF(ISERROR(Data!D59/Data!C59-1),"",Data!D59/Data!C59-1)</f>
        <v>0.3862660944206009</v>
      </c>
      <c r="D287" s="546">
        <f>IF(ISERROR(Data!E59/Data!D59-1),"",Data!E59/Data!D59-1)</f>
        <v>0.2312808164201352</v>
      </c>
      <c r="E287" s="546">
        <f>IF(ISERROR(Data!F59/Data!E59-1),"",Data!F59/Data!E59-1)</f>
        <v>-0.026867200596014107</v>
      </c>
      <c r="F287" s="546">
        <f>IF(ISERROR(Data!G59/Data!F59-1),"",Data!G59/Data!F59-1)</f>
        <v>0.07177376907986033</v>
      </c>
      <c r="G287" s="546">
        <f>IF(ISERROR((Data!G59/Data!B59)^(1/5)-1),"",(Data!G59/Data!B59)^(1/5)-1)</f>
        <v>0.05306842370976317</v>
      </c>
      <c r="H287" s="47"/>
      <c r="I287" s="47"/>
      <c r="J287" s="47"/>
      <c r="K287" s="47"/>
      <c r="L287" s="47"/>
      <c r="M287" s="47"/>
      <c r="N287" s="47"/>
      <c r="O287" s="47"/>
      <c r="P287" s="47"/>
      <c r="Q287" s="47"/>
      <c r="R287" s="47"/>
      <c r="S287" s="47"/>
    </row>
    <row r="288" spans="1:19" ht="12.75" customHeight="1">
      <c r="A288" s="542" t="str">
        <f>Data!A60</f>
        <v>  Total Liabilities and Equities</v>
      </c>
      <c r="B288" s="545">
        <f>IF(ISERROR(Data!C60/Data!B60-1),"",Data!C60/Data!B60-1)</f>
        <v>0.03944784567402104</v>
      </c>
      <c r="C288" s="545">
        <f>IF(ISERROR(Data!D60/Data!C60-1),"",Data!D60/Data!C60-1)</f>
        <v>0.10707340112240926</v>
      </c>
      <c r="D288" s="545">
        <f>IF(ISERROR(Data!E60/Data!D60-1),"",Data!E60/Data!D60-1)</f>
        <v>0.7103242320819112</v>
      </c>
      <c r="E288" s="545">
        <f>IF(ISERROR(Data!F60/Data!E60-1),"",Data!F60/Data!E60-1)</f>
        <v>0.06938799465907586</v>
      </c>
      <c r="F288" s="545">
        <f>IF(ISERROR(Data!G60/Data!F60-1),"",Data!G60/Data!F60-1)</f>
        <v>0.02409374056694391</v>
      </c>
      <c r="G288" s="545">
        <f>IF(ISERROR((Data!G60/Data!B60)^(1/5)-1),"",(Data!G60/Data!B60)^(1/5)-1)</f>
        <v>0.16602138881069273</v>
      </c>
      <c r="H288" s="47"/>
      <c r="I288" s="47"/>
      <c r="J288" s="47"/>
      <c r="K288" s="47"/>
      <c r="L288" s="47"/>
      <c r="M288" s="47"/>
      <c r="N288" s="47"/>
      <c r="O288" s="47"/>
      <c r="P288" s="47"/>
      <c r="Q288" s="47"/>
      <c r="R288" s="47"/>
      <c r="S288" s="47"/>
    </row>
    <row r="289" spans="1:19" ht="12.75" customHeight="1">
      <c r="A289" s="97"/>
      <c r="B289" s="80"/>
      <c r="C289" s="80"/>
      <c r="D289" s="80"/>
      <c r="E289" s="80"/>
      <c r="F289" s="80"/>
      <c r="G289" s="141"/>
      <c r="H289" s="47"/>
      <c r="I289" s="47"/>
      <c r="J289" s="47"/>
      <c r="K289" s="47"/>
      <c r="L289" s="47"/>
      <c r="M289" s="47"/>
      <c r="N289" s="47"/>
      <c r="O289" s="47"/>
      <c r="P289" s="47"/>
      <c r="Q289" s="47"/>
      <c r="R289" s="47"/>
      <c r="S289" s="47"/>
    </row>
    <row r="290" spans="1:19" ht="12.75" customHeight="1" thickBot="1">
      <c r="A290" s="80"/>
      <c r="B290" s="80"/>
      <c r="C290" s="80"/>
      <c r="D290" s="80"/>
      <c r="E290" s="80"/>
      <c r="F290" s="61"/>
      <c r="G290" s="80"/>
      <c r="H290" s="47"/>
      <c r="I290" s="47"/>
      <c r="J290" s="47"/>
      <c r="K290" s="47"/>
      <c r="L290" s="47"/>
      <c r="M290" s="47"/>
      <c r="N290" s="47"/>
      <c r="O290" s="47"/>
      <c r="P290" s="47"/>
      <c r="Q290" s="47"/>
      <c r="R290" s="47"/>
      <c r="S290" s="47"/>
    </row>
    <row r="291" spans="1:19" ht="12.75" customHeight="1" thickBot="1">
      <c r="A291" s="103" t="s">
        <v>238</v>
      </c>
      <c r="B291" s="104"/>
      <c r="C291" s="104"/>
      <c r="D291" s="104"/>
      <c r="E291" s="104"/>
      <c r="F291" s="104"/>
      <c r="G291" s="104"/>
      <c r="H291" s="105"/>
      <c r="I291" s="47"/>
      <c r="J291" s="109" t="s">
        <v>507</v>
      </c>
      <c r="K291" s="47"/>
      <c r="L291" s="47"/>
      <c r="M291" s="47"/>
      <c r="N291" s="47"/>
      <c r="O291" s="47"/>
      <c r="P291" s="47"/>
      <c r="Q291" s="47"/>
      <c r="R291" s="47"/>
      <c r="S291" s="47"/>
    </row>
    <row r="292" spans="1:19" ht="12.75" customHeight="1">
      <c r="A292" s="142"/>
      <c r="B292" s="61"/>
      <c r="C292" s="61"/>
      <c r="D292" s="61"/>
      <c r="E292" s="61"/>
      <c r="F292" s="61"/>
      <c r="G292" s="61"/>
      <c r="H292" s="143"/>
      <c r="I292" s="47"/>
      <c r="J292" s="47" t="s">
        <v>371</v>
      </c>
      <c r="K292" s="47"/>
      <c r="L292" s="47"/>
      <c r="M292" s="47"/>
      <c r="N292" s="47"/>
      <c r="O292" s="47"/>
      <c r="P292" s="47"/>
      <c r="Q292" s="47"/>
      <c r="R292" s="47"/>
      <c r="S292" s="47"/>
    </row>
    <row r="293" spans="1:19" ht="12.75" customHeight="1">
      <c r="A293" s="144"/>
      <c r="B293" s="61"/>
      <c r="C293" s="61"/>
      <c r="D293" s="61"/>
      <c r="E293" s="61"/>
      <c r="F293" s="61"/>
      <c r="G293" s="61"/>
      <c r="H293" s="143"/>
      <c r="I293" s="47"/>
      <c r="J293" s="47"/>
      <c r="K293" s="47"/>
      <c r="L293" s="47"/>
      <c r="M293" s="47"/>
      <c r="N293" s="47"/>
      <c r="O293" s="47"/>
      <c r="P293" s="47"/>
      <c r="Q293" s="47"/>
      <c r="R293" s="47"/>
      <c r="S293" s="47"/>
    </row>
    <row r="294" spans="1:19" ht="12.75" customHeight="1">
      <c r="A294" s="145" t="s">
        <v>465</v>
      </c>
      <c r="C294" s="146"/>
      <c r="D294" s="146" t="s">
        <v>464</v>
      </c>
      <c r="E294" s="147"/>
      <c r="G294" s="61"/>
      <c r="H294" s="143"/>
      <c r="I294" s="47"/>
      <c r="K294" s="47"/>
      <c r="L294" s="47"/>
      <c r="M294" s="47"/>
      <c r="N294" s="47"/>
      <c r="O294" s="47"/>
      <c r="P294" s="47"/>
      <c r="Q294" s="47"/>
      <c r="R294" s="47"/>
      <c r="S294" s="47"/>
    </row>
    <row r="295" spans="1:19" ht="12.75" customHeight="1">
      <c r="A295" s="148"/>
      <c r="B295" s="61"/>
      <c r="C295" s="149">
        <f>Data!$E$11</f>
        <v>2010</v>
      </c>
      <c r="D295" s="149">
        <f>Data!$F$11</f>
        <v>2011</v>
      </c>
      <c r="E295" s="149">
        <f>Data!$G$11</f>
        <v>2012</v>
      </c>
      <c r="F295" s="61"/>
      <c r="G295" s="61"/>
      <c r="H295" s="143"/>
      <c r="I295" s="47"/>
      <c r="J295" s="47"/>
      <c r="K295" s="47"/>
      <c r="L295" s="47"/>
      <c r="M295" s="47"/>
      <c r="N295" s="47"/>
      <c r="O295" s="47"/>
      <c r="P295" s="47"/>
      <c r="Q295" s="47"/>
      <c r="R295" s="47"/>
      <c r="S295" s="47"/>
    </row>
    <row r="296" spans="1:19" ht="12.75" customHeight="1">
      <c r="A296" s="150"/>
      <c r="B296" s="61"/>
      <c r="C296" s="151">
        <f>IF(ISERROR(D31),"",D31)</f>
        <v>0.13481264062369794</v>
      </c>
      <c r="D296" s="151">
        <f>IF(ISERROR(E31),"",E31)</f>
        <v>0.10792214698479101</v>
      </c>
      <c r="E296" s="151">
        <f>IF(ISERROR(F31),"",F31)</f>
        <v>0.09591038503253796</v>
      </c>
      <c r="F296" s="61"/>
      <c r="G296" s="61"/>
      <c r="H296" s="143"/>
      <c r="I296" s="47"/>
      <c r="J296" s="47"/>
      <c r="K296" s="47"/>
      <c r="L296" s="47"/>
      <c r="M296" s="47"/>
      <c r="N296" s="47"/>
      <c r="O296" s="47"/>
      <c r="P296" s="47"/>
      <c r="Q296" s="47"/>
      <c r="R296" s="47"/>
      <c r="S296" s="47"/>
    </row>
    <row r="297" spans="1:19" ht="12.75" customHeight="1">
      <c r="A297" s="148"/>
      <c r="B297" s="61"/>
      <c r="C297" s="61"/>
      <c r="D297" s="61"/>
      <c r="E297" s="61"/>
      <c r="F297" s="61"/>
      <c r="G297" s="61"/>
      <c r="H297" s="143"/>
      <c r="I297" s="47"/>
      <c r="J297" s="47"/>
      <c r="K297" s="47"/>
      <c r="L297" s="47"/>
      <c r="M297" s="47"/>
      <c r="N297" s="47"/>
      <c r="O297" s="47"/>
      <c r="P297" s="47"/>
      <c r="Q297" s="47"/>
      <c r="R297" s="47"/>
      <c r="S297" s="47"/>
    </row>
    <row r="298" spans="1:19" ht="12.75" customHeight="1">
      <c r="A298" s="145" t="s">
        <v>466</v>
      </c>
      <c r="B298" s="146"/>
      <c r="C298" s="146" t="s">
        <v>467</v>
      </c>
      <c r="D298" s="146"/>
      <c r="E298" s="146"/>
      <c r="F298" s="146" t="s">
        <v>468</v>
      </c>
      <c r="G298" s="147"/>
      <c r="H298" s="143"/>
      <c r="I298" s="47"/>
      <c r="J298" s="47"/>
      <c r="K298" s="47"/>
      <c r="L298" s="47"/>
      <c r="M298" s="47"/>
      <c r="N298" s="47"/>
      <c r="O298" s="47"/>
      <c r="P298" s="47"/>
      <c r="Q298" s="47"/>
      <c r="R298" s="47"/>
      <c r="S298" s="47"/>
    </row>
    <row r="299" spans="1:19" ht="12.75" customHeight="1">
      <c r="A299" s="150"/>
      <c r="B299" s="152">
        <f>C295</f>
        <v>2010</v>
      </c>
      <c r="C299" s="152">
        <f>D295</f>
        <v>2011</v>
      </c>
      <c r="D299" s="152">
        <f>E295</f>
        <v>2012</v>
      </c>
      <c r="E299" s="152">
        <f>C295</f>
        <v>2010</v>
      </c>
      <c r="F299" s="152">
        <f>D295</f>
        <v>2011</v>
      </c>
      <c r="G299" s="152">
        <f>E295</f>
        <v>2012</v>
      </c>
      <c r="H299" s="143"/>
      <c r="I299" s="47"/>
      <c r="J299" s="47"/>
      <c r="K299" s="47"/>
      <c r="L299" s="47"/>
      <c r="M299" s="47"/>
      <c r="N299" s="47"/>
      <c r="O299" s="47"/>
      <c r="P299" s="47"/>
      <c r="Q299" s="47"/>
      <c r="R299" s="47"/>
      <c r="S299" s="47"/>
    </row>
    <row r="300" spans="1:19" ht="12.75" customHeight="1">
      <c r="A300" s="150"/>
      <c r="B300" s="151">
        <f>IF(ISERROR(D29),"",D29)</f>
        <v>0.12586794149175282</v>
      </c>
      <c r="C300" s="151">
        <f>IF(ISERROR(E29),"",E29)</f>
        <v>0.11443522194153735</v>
      </c>
      <c r="D300" s="151">
        <f>IF(ISERROR(F29),"",F29)</f>
        <v>0.1080185366151591</v>
      </c>
      <c r="E300" s="153">
        <f>IF(ISERROR(D30),"",D30)</f>
        <v>1.0710641568133628</v>
      </c>
      <c r="F300" s="153">
        <f>IF(ISERROR(E30),"",E30)</f>
        <v>0.9430850498103308</v>
      </c>
      <c r="G300" s="153">
        <f>IF(ISERROR(F30),"",F30)</f>
        <v>0.8879067245119305</v>
      </c>
      <c r="H300" s="143"/>
      <c r="I300" s="47"/>
      <c r="J300" s="47"/>
      <c r="K300" s="47"/>
      <c r="L300" s="47"/>
      <c r="M300" s="47"/>
      <c r="N300" s="47"/>
      <c r="O300" s="47"/>
      <c r="P300" s="47"/>
      <c r="Q300" s="47"/>
      <c r="R300" s="47"/>
      <c r="S300" s="47"/>
    </row>
    <row r="301" spans="1:19" ht="12.75" customHeight="1">
      <c r="A301" s="150"/>
      <c r="B301" s="137"/>
      <c r="C301" s="137"/>
      <c r="D301" s="137"/>
      <c r="E301" s="137"/>
      <c r="F301" s="137"/>
      <c r="G301" s="137"/>
      <c r="H301" s="143"/>
      <c r="I301" s="47"/>
      <c r="J301" s="47"/>
      <c r="K301" s="47"/>
      <c r="L301" s="47"/>
      <c r="M301" s="47"/>
      <c r="N301" s="47"/>
      <c r="O301" s="47"/>
      <c r="P301" s="47"/>
      <c r="Q301" s="47"/>
      <c r="R301" s="47"/>
      <c r="S301" s="47"/>
    </row>
    <row r="302" spans="1:19" ht="12.75" customHeight="1">
      <c r="A302" s="145" t="s">
        <v>469</v>
      </c>
      <c r="B302" s="152">
        <f aca="true" t="shared" si="0" ref="B302:G302">B299</f>
        <v>2010</v>
      </c>
      <c r="C302" s="152">
        <f t="shared" si="0"/>
        <v>2011</v>
      </c>
      <c r="D302" s="152">
        <f t="shared" si="0"/>
        <v>2012</v>
      </c>
      <c r="E302" s="152">
        <f t="shared" si="0"/>
        <v>2010</v>
      </c>
      <c r="F302" s="152">
        <f t="shared" si="0"/>
        <v>2011</v>
      </c>
      <c r="G302" s="152">
        <f t="shared" si="0"/>
        <v>2012</v>
      </c>
      <c r="H302" s="154" t="s">
        <v>364</v>
      </c>
      <c r="I302" s="47"/>
      <c r="J302" s="47" t="s">
        <v>372</v>
      </c>
      <c r="K302" s="47"/>
      <c r="L302" s="47"/>
      <c r="M302" s="47"/>
      <c r="N302" s="47"/>
      <c r="O302" s="47"/>
      <c r="P302" s="47"/>
      <c r="Q302" s="47"/>
      <c r="R302" s="47"/>
      <c r="S302" s="47"/>
    </row>
    <row r="303" spans="1:19" ht="12.75" customHeight="1">
      <c r="A303" s="155" t="str">
        <f>A124</f>
        <v>Revenues</v>
      </c>
      <c r="B303" s="156">
        <f aca="true" t="shared" si="1" ref="B303:D306">IF(ISERROR(D124),"",D124)</f>
        <v>1</v>
      </c>
      <c r="C303" s="156">
        <f t="shared" si="1"/>
        <v>1</v>
      </c>
      <c r="D303" s="156">
        <f t="shared" si="1"/>
        <v>1</v>
      </c>
      <c r="E303" s="153">
        <f>IF(ISERROR(D83),"",D83)</f>
        <v>10.566913309582533</v>
      </c>
      <c r="F303" s="153">
        <f>IF(ISERROR(E83),"",E83)</f>
        <v>10.04971666037023</v>
      </c>
      <c r="G303" s="153">
        <f>IF(ISERROR(F83),"",F83)</f>
        <v>9.387515229699707</v>
      </c>
      <c r="H303" s="154" t="s">
        <v>262</v>
      </c>
      <c r="I303" s="47"/>
      <c r="J303" s="47"/>
      <c r="K303" s="47"/>
      <c r="L303" s="47"/>
      <c r="M303" s="47"/>
      <c r="N303" s="47"/>
      <c r="O303" s="47"/>
      <c r="P303" s="47"/>
      <c r="Q303" s="47"/>
      <c r="R303" s="47"/>
      <c r="S303" s="47"/>
    </row>
    <row r="304" spans="1:19" ht="12.75" customHeight="1">
      <c r="A304" s="155" t="str">
        <f>A125</f>
        <v>&lt;Cost of goods sold&gt;</v>
      </c>
      <c r="B304" s="156">
        <f t="shared" si="1"/>
        <v>-0.45947301082333414</v>
      </c>
      <c r="C304" s="156">
        <f t="shared" si="1"/>
        <v>-0.47505413208228076</v>
      </c>
      <c r="D304" s="156">
        <f t="shared" si="1"/>
        <v>-0.4777835460819642</v>
      </c>
      <c r="E304" s="153">
        <f>IF(ISERROR(D85),"",D85)</f>
        <v>8.873121869782972</v>
      </c>
      <c r="F304" s="153">
        <f>IF(ISERROR(E85),"",E85)</f>
        <v>8.777052368384497</v>
      </c>
      <c r="G304" s="153">
        <f>IF(ISERROR(F85),"",F85)</f>
        <v>8.447894168466522</v>
      </c>
      <c r="H304" s="154" t="s">
        <v>263</v>
      </c>
      <c r="I304" s="47"/>
      <c r="J304" s="47"/>
      <c r="K304" s="47"/>
      <c r="L304" s="47"/>
      <c r="M304" s="47"/>
      <c r="N304" s="47"/>
      <c r="O304" s="47"/>
      <c r="P304" s="47"/>
      <c r="Q304" s="47"/>
      <c r="R304" s="47"/>
      <c r="S304" s="47"/>
    </row>
    <row r="305" spans="1:19" ht="12.75" customHeight="1">
      <c r="A305" s="155" t="str">
        <f>A126</f>
        <v>  Gross Profit</v>
      </c>
      <c r="B305" s="156">
        <f t="shared" si="1"/>
        <v>0.5405269891766659</v>
      </c>
      <c r="C305" s="156">
        <f t="shared" si="1"/>
        <v>0.5249458679177192</v>
      </c>
      <c r="D305" s="156">
        <f t="shared" si="1"/>
        <v>0.5222164539180358</v>
      </c>
      <c r="E305" s="153">
        <f>IF(ISERROR(D90),"",D90)</f>
        <v>3.6457499448454094</v>
      </c>
      <c r="F305" s="153">
        <f>IF(ISERROR(E90),"",E90)</f>
        <v>3.431933120033027</v>
      </c>
      <c r="G305" s="153">
        <f>IF(ISERROR(F90),"",F90)</f>
        <v>3.3729206365555955</v>
      </c>
      <c r="H305" s="154" t="s">
        <v>264</v>
      </c>
      <c r="I305" s="47"/>
      <c r="J305" s="47"/>
      <c r="K305" s="47"/>
      <c r="L305" s="47"/>
      <c r="M305" s="47"/>
      <c r="N305" s="47"/>
      <c r="O305" s="47"/>
      <c r="P305" s="47"/>
      <c r="Q305" s="47"/>
      <c r="R305" s="47"/>
      <c r="S305" s="47"/>
    </row>
    <row r="306" spans="1:19" ht="12.75" customHeight="1">
      <c r="A306" s="155" t="str">
        <f>A127</f>
        <v>&lt;Selling, general and administrative expenses&gt;</v>
      </c>
      <c r="B306" s="156">
        <f t="shared" si="1"/>
        <v>-0.39444655762647396</v>
      </c>
      <c r="C306" s="156">
        <f t="shared" si="1"/>
        <v>-0.37809755804162154</v>
      </c>
      <c r="D306" s="156">
        <f t="shared" si="1"/>
        <v>-0.38126794112257983</v>
      </c>
      <c r="E306" s="153"/>
      <c r="F306" s="153"/>
      <c r="G306" s="153"/>
      <c r="H306" s="154"/>
      <c r="I306" s="47"/>
      <c r="J306" s="47"/>
      <c r="K306" s="47"/>
      <c r="L306" s="47"/>
      <c r="M306" s="47"/>
      <c r="N306" s="47"/>
      <c r="O306" s="47"/>
      <c r="P306" s="47"/>
      <c r="Q306" s="47"/>
      <c r="R306" s="47"/>
      <c r="S306" s="47"/>
    </row>
    <row r="307" spans="1:19" ht="12.75" customHeight="1">
      <c r="A307" s="155" t="str">
        <f>A135</f>
        <v>  Operating Profit</v>
      </c>
      <c r="B307" s="156">
        <f>IF(ISERROR(D135),"",D135)</f>
        <v>0.1440575400255887</v>
      </c>
      <c r="C307" s="156">
        <f>IF(ISERROR(E135),"",E135)</f>
        <v>0.14484843016961385</v>
      </c>
      <c r="D307" s="156">
        <f>IF(ISERROR(F135),"",F135)</f>
        <v>0.13913149697673</v>
      </c>
      <c r="E307" s="153"/>
      <c r="F307" s="153"/>
      <c r="G307" s="153"/>
      <c r="H307" s="154"/>
      <c r="I307" s="47"/>
      <c r="J307" s="47"/>
      <c r="K307" s="47"/>
      <c r="L307" s="47"/>
      <c r="M307" s="47"/>
      <c r="N307" s="47"/>
      <c r="O307" s="47"/>
      <c r="P307" s="47"/>
      <c r="Q307" s="47"/>
      <c r="R307" s="47"/>
      <c r="S307" s="47"/>
    </row>
    <row r="308" spans="1:19" ht="12.75" customHeight="1">
      <c r="A308" s="155" t="str">
        <f>A140</f>
        <v>  Income before Tax</v>
      </c>
      <c r="B308" s="156">
        <f aca="true" t="shared" si="2" ref="B308:D309">IF(ISERROR(D140),"",D140)</f>
        <v>0.14232857291054324</v>
      </c>
      <c r="C308" s="156">
        <f t="shared" si="2"/>
        <v>0.1328341152411885</v>
      </c>
      <c r="D308" s="156">
        <f t="shared" si="2"/>
        <v>0.1267941122579857</v>
      </c>
      <c r="E308" s="153"/>
      <c r="F308" s="153"/>
      <c r="G308" s="153"/>
      <c r="H308" s="157"/>
      <c r="I308" s="47"/>
      <c r="J308" s="47"/>
      <c r="K308" s="47"/>
      <c r="L308" s="47"/>
      <c r="M308" s="47"/>
      <c r="N308" s="47"/>
      <c r="O308" s="47"/>
      <c r="P308" s="47"/>
      <c r="Q308" s="47"/>
      <c r="R308" s="47"/>
      <c r="S308" s="47"/>
    </row>
    <row r="309" spans="1:19" ht="12.75" customHeight="1">
      <c r="A309" s="158" t="str">
        <f>A141</f>
        <v>&lt;Income tax expense&gt;</v>
      </c>
      <c r="B309" s="151">
        <f t="shared" si="2"/>
        <v>-0.032746637158961235</v>
      </c>
      <c r="C309" s="151">
        <f t="shared" si="2"/>
        <v>-0.03566702754721521</v>
      </c>
      <c r="D309" s="151">
        <f t="shared" si="2"/>
        <v>-0.03191229463140536</v>
      </c>
      <c r="E309" s="137"/>
      <c r="F309" s="137"/>
      <c r="G309" s="137"/>
      <c r="H309" s="143"/>
      <c r="I309" s="47"/>
      <c r="J309" s="47"/>
      <c r="K309" s="47"/>
      <c r="L309" s="47"/>
      <c r="M309" s="47"/>
      <c r="N309" s="47"/>
      <c r="O309" s="47"/>
      <c r="P309" s="47"/>
      <c r="Q309" s="47"/>
      <c r="R309" s="47"/>
      <c r="S309" s="47"/>
    </row>
    <row r="310" spans="1:19" ht="12.75" customHeight="1">
      <c r="A310" s="155" t="s">
        <v>533</v>
      </c>
      <c r="B310" s="156">
        <f>IF(ISERROR(D29),"",D29)</f>
        <v>0.12586794149175282</v>
      </c>
      <c r="C310" s="156">
        <f>IF(ISERROR(E29),"",E29)</f>
        <v>0.11443522194153735</v>
      </c>
      <c r="D310" s="156">
        <f>IF(ISERROR(F29),"",F29)</f>
        <v>0.1080185366151591</v>
      </c>
      <c r="E310" s="137"/>
      <c r="F310" s="137"/>
      <c r="G310" s="137"/>
      <c r="H310" s="143"/>
      <c r="I310" s="47"/>
      <c r="J310" s="47"/>
      <c r="K310" s="47"/>
      <c r="L310" s="47"/>
      <c r="M310" s="47"/>
      <c r="N310" s="47"/>
      <c r="O310" s="47"/>
      <c r="P310" s="47"/>
      <c r="Q310" s="47"/>
      <c r="R310" s="47"/>
      <c r="S310" s="47"/>
    </row>
    <row r="311" spans="1:19" ht="12.75" customHeight="1">
      <c r="A311" s="159" t="s">
        <v>534</v>
      </c>
      <c r="B311" s="156"/>
      <c r="C311" s="156"/>
      <c r="D311" s="156"/>
      <c r="E311" s="137"/>
      <c r="F311" s="137"/>
      <c r="G311" s="137"/>
      <c r="H311" s="143"/>
      <c r="I311" s="47"/>
      <c r="J311" s="47"/>
      <c r="K311" s="47"/>
      <c r="L311" s="47"/>
      <c r="M311" s="47"/>
      <c r="N311" s="47"/>
      <c r="O311" s="47"/>
      <c r="P311" s="47"/>
      <c r="Q311" s="47"/>
      <c r="R311" s="47"/>
      <c r="S311" s="47"/>
    </row>
    <row r="312" spans="1:19" ht="12.75" customHeight="1">
      <c r="A312" s="160"/>
      <c r="B312" s="156"/>
      <c r="C312" s="156"/>
      <c r="D312" s="156"/>
      <c r="E312" s="161"/>
      <c r="F312" s="162"/>
      <c r="G312" s="61"/>
      <c r="H312" s="143"/>
      <c r="I312" s="47"/>
      <c r="J312" s="47"/>
      <c r="K312" s="47"/>
      <c r="L312" s="47"/>
      <c r="M312" s="47"/>
      <c r="N312" s="47"/>
      <c r="O312" s="47"/>
      <c r="P312" s="47"/>
      <c r="Q312" s="47"/>
      <c r="R312" s="47"/>
      <c r="S312" s="47"/>
    </row>
    <row r="313" spans="1:19" ht="12.75" customHeight="1" thickBot="1">
      <c r="A313" s="163"/>
      <c r="B313" s="80"/>
      <c r="C313" s="80"/>
      <c r="D313" s="80"/>
      <c r="E313" s="80"/>
      <c r="F313" s="80"/>
      <c r="G313" s="80"/>
      <c r="H313" s="143"/>
      <c r="I313" s="47"/>
      <c r="J313" s="47"/>
      <c r="K313" s="47"/>
      <c r="L313" s="47"/>
      <c r="M313" s="47"/>
      <c r="N313" s="47"/>
      <c r="O313" s="47"/>
      <c r="P313" s="47"/>
      <c r="Q313" s="47"/>
      <c r="R313" s="47"/>
      <c r="S313" s="47"/>
    </row>
    <row r="314" spans="1:19" ht="12.75" customHeight="1" thickBot="1">
      <c r="A314" s="103" t="s">
        <v>233</v>
      </c>
      <c r="B314" s="104"/>
      <c r="C314" s="104"/>
      <c r="D314" s="104"/>
      <c r="E314" s="104"/>
      <c r="F314" s="104"/>
      <c r="G314" s="104"/>
      <c r="H314" s="105"/>
      <c r="I314" s="47"/>
      <c r="J314" s="47"/>
      <c r="K314" s="47"/>
      <c r="L314" s="47"/>
      <c r="M314" s="47"/>
      <c r="N314" s="47"/>
      <c r="O314" s="47"/>
      <c r="P314" s="47"/>
      <c r="Q314" s="47"/>
      <c r="R314" s="47"/>
      <c r="S314" s="47"/>
    </row>
    <row r="315" spans="1:19" ht="12.75" customHeight="1">
      <c r="A315" s="163"/>
      <c r="B315" s="61"/>
      <c r="C315" s="61"/>
      <c r="D315" s="61"/>
      <c r="E315" s="61"/>
      <c r="F315" s="61"/>
      <c r="G315" s="61"/>
      <c r="H315" s="143"/>
      <c r="I315" s="47"/>
      <c r="J315" s="47"/>
      <c r="K315" s="47"/>
      <c r="L315" s="47"/>
      <c r="M315" s="47"/>
      <c r="N315" s="47"/>
      <c r="O315" s="47"/>
      <c r="P315" s="47"/>
      <c r="Q315" s="47"/>
      <c r="R315" s="47"/>
      <c r="S315" s="47"/>
    </row>
    <row r="316" spans="1:19" ht="12.75" customHeight="1">
      <c r="A316" s="163"/>
      <c r="B316" s="164"/>
      <c r="C316" s="146" t="s">
        <v>471</v>
      </c>
      <c r="D316" s="164"/>
      <c r="E316" s="61"/>
      <c r="G316" s="61"/>
      <c r="H316" s="143"/>
      <c r="I316" s="47"/>
      <c r="J316" s="47"/>
      <c r="K316" s="47"/>
      <c r="L316" s="47"/>
      <c r="M316" s="47"/>
      <c r="N316" s="47"/>
      <c r="O316" s="47"/>
      <c r="P316" s="47"/>
      <c r="Q316" s="47"/>
      <c r="R316" s="47"/>
      <c r="S316" s="47"/>
    </row>
    <row r="317" spans="1:19" ht="12.75" customHeight="1">
      <c r="A317" s="163"/>
      <c r="B317" s="152">
        <f>C295</f>
        <v>2010</v>
      </c>
      <c r="C317" s="152">
        <f>D295</f>
        <v>2011</v>
      </c>
      <c r="D317" s="152">
        <f>E295</f>
        <v>2012</v>
      </c>
      <c r="E317" s="61"/>
      <c r="F317" s="61"/>
      <c r="G317" s="61"/>
      <c r="H317" s="143"/>
      <c r="I317" s="47"/>
      <c r="J317" s="47"/>
      <c r="K317" s="47"/>
      <c r="L317" s="47"/>
      <c r="M317" s="47"/>
      <c r="N317" s="47"/>
      <c r="O317" s="47"/>
      <c r="P317" s="47"/>
      <c r="Q317" s="47"/>
      <c r="R317" s="47"/>
      <c r="S317" s="47"/>
    </row>
    <row r="318" spans="1:19" ht="12.75" customHeight="1">
      <c r="A318" s="163"/>
      <c r="B318" s="151">
        <f>IF(ISERROR(D43),"",D43)</f>
        <v>0.34959796757549566</v>
      </c>
      <c r="C318" s="151">
        <f>IF(ISERROR(E43),"",E43)</f>
        <v>0.33513590775901086</v>
      </c>
      <c r="D318" s="151">
        <f>IF(ISERROR(F43),"",F43)</f>
        <v>0.29929732612880033</v>
      </c>
      <c r="E318" s="61"/>
      <c r="F318" s="61"/>
      <c r="G318" s="61"/>
      <c r="H318" s="143"/>
      <c r="I318" s="47"/>
      <c r="J318" s="47"/>
      <c r="K318" s="47"/>
      <c r="L318" s="47"/>
      <c r="M318" s="47"/>
      <c r="N318" s="47"/>
      <c r="O318" s="47"/>
      <c r="P318" s="47"/>
      <c r="Q318" s="47"/>
      <c r="R318" s="47"/>
      <c r="S318" s="47"/>
    </row>
    <row r="319" spans="1:19" ht="12.75" customHeight="1">
      <c r="A319" s="163"/>
      <c r="B319" s="137"/>
      <c r="C319" s="137"/>
      <c r="D319" s="137"/>
      <c r="E319" s="61"/>
      <c r="F319" s="61"/>
      <c r="G319" s="61"/>
      <c r="H319" s="143"/>
      <c r="I319" s="47"/>
      <c r="J319" s="47"/>
      <c r="K319" s="47"/>
      <c r="L319" s="47"/>
      <c r="M319" s="47"/>
      <c r="N319" s="47"/>
      <c r="O319" s="47"/>
      <c r="P319" s="47"/>
      <c r="Q319" s="47"/>
      <c r="R319" s="47"/>
      <c r="S319" s="47"/>
    </row>
    <row r="320" spans="1:19" ht="12.75" customHeight="1">
      <c r="A320" s="145" t="s">
        <v>472</v>
      </c>
      <c r="B320" s="151">
        <f aca="true" t="shared" si="3" ref="B320:D322">IF(ISERROR(D40),"",D40)</f>
        <v>0.11539126525813478</v>
      </c>
      <c r="C320" s="151">
        <f t="shared" si="3"/>
        <v>0.10576807410080596</v>
      </c>
      <c r="D320" s="151">
        <f t="shared" si="3"/>
        <v>0.09853111830452574</v>
      </c>
      <c r="E320" s="61"/>
      <c r="F320" s="61"/>
      <c r="G320" s="61"/>
      <c r="H320" s="143"/>
      <c r="I320" s="47"/>
      <c r="J320" s="47"/>
      <c r="K320" s="47"/>
      <c r="L320" s="47"/>
      <c r="M320" s="47"/>
      <c r="N320" s="47"/>
      <c r="O320" s="47"/>
      <c r="P320" s="47"/>
      <c r="Q320" s="47"/>
      <c r="R320" s="47"/>
      <c r="S320" s="47"/>
    </row>
    <row r="321" spans="1:19" ht="12.75" customHeight="1">
      <c r="A321" s="145" t="s">
        <v>468</v>
      </c>
      <c r="B321" s="165">
        <f t="shared" si="3"/>
        <v>1.0710641568133628</v>
      </c>
      <c r="C321" s="165">
        <f t="shared" si="3"/>
        <v>0.9430850498103308</v>
      </c>
      <c r="D321" s="165">
        <f t="shared" si="3"/>
        <v>0.8879067245119305</v>
      </c>
      <c r="E321" s="61"/>
      <c r="F321" s="61"/>
      <c r="G321" s="61"/>
      <c r="H321" s="143"/>
      <c r="I321" s="47"/>
      <c r="J321" s="47"/>
      <c r="K321" s="47"/>
      <c r="L321" s="47"/>
      <c r="M321" s="47"/>
      <c r="N321" s="47"/>
      <c r="O321" s="47"/>
      <c r="P321" s="47"/>
      <c r="Q321" s="47"/>
      <c r="R321" s="47"/>
      <c r="S321" s="47"/>
    </row>
    <row r="322" spans="1:19" ht="12.75" customHeight="1">
      <c r="A322" s="145" t="s">
        <v>473</v>
      </c>
      <c r="B322" s="153">
        <f t="shared" si="3"/>
        <v>2.8286582331526153</v>
      </c>
      <c r="C322" s="153">
        <f t="shared" si="3"/>
        <v>3.359816089763442</v>
      </c>
      <c r="D322" s="153">
        <f t="shared" si="3"/>
        <v>3.4210709399132675</v>
      </c>
      <c r="E322" s="61"/>
      <c r="F322" s="61"/>
      <c r="G322" s="61"/>
      <c r="H322" s="143"/>
      <c r="I322" s="47"/>
      <c r="J322" s="47"/>
      <c r="K322" s="47"/>
      <c r="L322" s="47"/>
      <c r="M322" s="47"/>
      <c r="N322" s="47"/>
      <c r="O322" s="47"/>
      <c r="P322" s="47"/>
      <c r="Q322" s="47"/>
      <c r="R322" s="47"/>
      <c r="S322" s="47"/>
    </row>
    <row r="323" spans="1:19" ht="12.75" customHeight="1">
      <c r="A323" s="145"/>
      <c r="B323" s="153"/>
      <c r="C323" s="153"/>
      <c r="D323" s="153"/>
      <c r="E323" s="61"/>
      <c r="F323" s="61"/>
      <c r="G323" s="61"/>
      <c r="H323" s="143"/>
      <c r="I323" s="47"/>
      <c r="J323" s="47"/>
      <c r="K323" s="47"/>
      <c r="L323" s="47"/>
      <c r="M323" s="47"/>
      <c r="N323" s="47"/>
      <c r="O323" s="47"/>
      <c r="P323" s="47"/>
      <c r="Q323" s="47"/>
      <c r="R323" s="47"/>
      <c r="S323" s="47"/>
    </row>
    <row r="324" spans="1:19" ht="12.75" customHeight="1">
      <c r="A324" s="145"/>
      <c r="B324" s="153"/>
      <c r="C324" s="153"/>
      <c r="D324" s="153"/>
      <c r="E324" s="61"/>
      <c r="F324" s="61"/>
      <c r="G324" s="61"/>
      <c r="H324" s="143"/>
      <c r="I324" s="47"/>
      <c r="J324" s="47"/>
      <c r="K324" s="47"/>
      <c r="L324" s="47"/>
      <c r="M324" s="47"/>
      <c r="N324" s="47"/>
      <c r="O324" s="47"/>
      <c r="P324" s="47"/>
      <c r="Q324" s="47"/>
      <c r="R324" s="47"/>
      <c r="S324" s="47"/>
    </row>
    <row r="325" spans="1:19" ht="12.75" customHeight="1" thickBot="1">
      <c r="A325" s="145"/>
      <c r="B325" s="153"/>
      <c r="C325" s="153"/>
      <c r="D325" s="153"/>
      <c r="E325" s="61"/>
      <c r="F325" s="61"/>
      <c r="G325" s="61"/>
      <c r="H325" s="143"/>
      <c r="I325" s="47"/>
      <c r="J325" s="47"/>
      <c r="K325" s="47"/>
      <c r="L325" s="47"/>
      <c r="M325" s="47"/>
      <c r="N325" s="47"/>
      <c r="O325" s="47"/>
      <c r="P325" s="47"/>
      <c r="Q325" s="47"/>
      <c r="R325" s="47"/>
      <c r="S325" s="47"/>
    </row>
    <row r="326" spans="1:19" ht="12.75" customHeight="1" thickBot="1">
      <c r="A326" s="103" t="s">
        <v>710</v>
      </c>
      <c r="B326" s="104"/>
      <c r="C326" s="104"/>
      <c r="D326" s="104"/>
      <c r="E326" s="104"/>
      <c r="F326" s="104"/>
      <c r="G326" s="104"/>
      <c r="H326" s="105"/>
      <c r="I326" s="47"/>
      <c r="J326" s="47"/>
      <c r="K326" s="47"/>
      <c r="L326" s="47"/>
      <c r="M326" s="47"/>
      <c r="N326" s="47"/>
      <c r="O326" s="47"/>
      <c r="P326" s="47"/>
      <c r="Q326" s="47"/>
      <c r="R326" s="47"/>
      <c r="S326" s="47"/>
    </row>
    <row r="327" spans="1:19" ht="12.75" customHeight="1">
      <c r="A327" s="145"/>
      <c r="B327" s="153"/>
      <c r="C327" s="153"/>
      <c r="D327" s="153"/>
      <c r="E327" s="61"/>
      <c r="F327" s="61"/>
      <c r="G327" s="61"/>
      <c r="H327" s="143"/>
      <c r="I327" s="47"/>
      <c r="J327" s="47"/>
      <c r="K327" s="47"/>
      <c r="L327" s="47"/>
      <c r="M327" s="47"/>
      <c r="N327" s="47"/>
      <c r="O327" s="47"/>
      <c r="P327" s="47"/>
      <c r="Q327" s="47"/>
      <c r="R327" s="47"/>
      <c r="S327" s="47"/>
    </row>
    <row r="328" spans="1:19" ht="12.75" customHeight="1">
      <c r="A328" s="163"/>
      <c r="B328" s="164"/>
      <c r="C328" s="146" t="s">
        <v>471</v>
      </c>
      <c r="D328" s="164"/>
      <c r="E328" s="61"/>
      <c r="F328" s="61"/>
      <c r="G328" s="61"/>
      <c r="H328" s="143"/>
      <c r="I328" s="47"/>
      <c r="J328" s="47"/>
      <c r="K328" s="47"/>
      <c r="L328" s="47"/>
      <c r="M328" s="47"/>
      <c r="N328" s="47"/>
      <c r="O328" s="47"/>
      <c r="P328" s="47"/>
      <c r="Q328" s="47"/>
      <c r="R328" s="47"/>
      <c r="S328" s="47"/>
    </row>
    <row r="329" spans="1:19" ht="12.75" customHeight="1">
      <c r="A329" s="163"/>
      <c r="B329" s="149">
        <f>C295</f>
        <v>2010</v>
      </c>
      <c r="C329" s="149">
        <f>D295</f>
        <v>2011</v>
      </c>
      <c r="D329" s="149">
        <f>E295</f>
        <v>2012</v>
      </c>
      <c r="E329" s="61"/>
      <c r="F329" s="61"/>
      <c r="G329" s="61"/>
      <c r="H329" s="143"/>
      <c r="I329" s="47"/>
      <c r="J329" s="47"/>
      <c r="K329" s="47"/>
      <c r="L329" s="47"/>
      <c r="M329" s="47"/>
      <c r="N329" s="47"/>
      <c r="O329" s="47"/>
      <c r="P329" s="47"/>
      <c r="Q329" s="47"/>
      <c r="R329" s="47"/>
      <c r="S329" s="47"/>
    </row>
    <row r="330" spans="1:19" ht="12.75" customHeight="1">
      <c r="A330" s="145" t="s">
        <v>718</v>
      </c>
      <c r="B330" s="151">
        <f>B318</f>
        <v>0.34959796757549566</v>
      </c>
      <c r="C330" s="151">
        <f>C318</f>
        <v>0.33513590775901086</v>
      </c>
      <c r="D330" s="151">
        <f>D318</f>
        <v>0.29929732612880033</v>
      </c>
      <c r="E330" s="61"/>
      <c r="F330" s="61"/>
      <c r="G330" s="61"/>
      <c r="H330" s="143"/>
      <c r="I330" s="47"/>
      <c r="J330" s="47"/>
      <c r="K330" s="47"/>
      <c r="L330" s="47"/>
      <c r="M330" s="47"/>
      <c r="N330" s="47"/>
      <c r="O330" s="47"/>
      <c r="P330" s="47"/>
      <c r="Q330" s="47"/>
      <c r="R330" s="47"/>
      <c r="S330" s="47"/>
    </row>
    <row r="331" spans="1:19" ht="12.75" customHeight="1">
      <c r="A331" s="163"/>
      <c r="B331" s="137"/>
      <c r="C331" s="137"/>
      <c r="D331" s="137"/>
      <c r="E331" s="61"/>
      <c r="F331" s="61"/>
      <c r="G331" s="61"/>
      <c r="H331" s="143"/>
      <c r="I331" s="47"/>
      <c r="J331" s="47"/>
      <c r="K331" s="47"/>
      <c r="L331" s="47"/>
      <c r="M331" s="47"/>
      <c r="N331" s="47"/>
      <c r="O331" s="47"/>
      <c r="P331" s="47"/>
      <c r="Q331" s="47"/>
      <c r="R331" s="47"/>
      <c r="S331" s="47"/>
    </row>
    <row r="332" spans="1:19" ht="12.75" customHeight="1">
      <c r="A332" s="145" t="s">
        <v>711</v>
      </c>
      <c r="B332" s="152"/>
      <c r="C332" s="152"/>
      <c r="D332" s="152"/>
      <c r="E332" s="61"/>
      <c r="F332" s="61"/>
      <c r="G332" s="61"/>
      <c r="H332" s="143"/>
      <c r="I332" s="47"/>
      <c r="J332" s="47"/>
      <c r="K332" s="47"/>
      <c r="L332" s="47"/>
      <c r="M332" s="47"/>
      <c r="N332" s="47"/>
      <c r="O332" s="47"/>
      <c r="P332" s="47"/>
      <c r="Q332" s="47"/>
      <c r="R332" s="47"/>
      <c r="S332" s="47"/>
    </row>
    <row r="333" spans="1:19" ht="12.75" customHeight="1">
      <c r="A333" s="145" t="s">
        <v>714</v>
      </c>
      <c r="B333" s="563">
        <f>Data!E65</f>
        <v>57838</v>
      </c>
      <c r="C333" s="563">
        <f>Data!F65</f>
        <v>66504</v>
      </c>
      <c r="D333" s="563">
        <f>Data!G65</f>
        <v>65492</v>
      </c>
      <c r="E333" s="61"/>
      <c r="F333" s="61"/>
      <c r="G333" s="61"/>
      <c r="H333" s="143"/>
      <c r="I333" s="47"/>
      <c r="J333" s="559"/>
      <c r="K333" s="560"/>
      <c r="L333" s="560"/>
      <c r="M333" s="560"/>
      <c r="N333" s="560"/>
      <c r="O333" s="47"/>
      <c r="P333" s="47"/>
      <c r="Q333" s="47"/>
      <c r="R333" s="47"/>
      <c r="S333" s="47"/>
    </row>
    <row r="334" spans="1:19" ht="12.75" customHeight="1">
      <c r="A334" s="145" t="s">
        <v>712</v>
      </c>
      <c r="B334" s="556">
        <f>Data!E86-Data!E78*(1+Data!E82/Data!E81)-Data!E144-Data!E142</f>
        <v>7387.239795918367</v>
      </c>
      <c r="C334" s="556">
        <f>Data!F86-Data!F78*(1+Data!F82/Data!F81)-Data!F144-Data!F142</f>
        <v>7679.157120217342</v>
      </c>
      <c r="D334" s="556">
        <f>Data!G86-Data!G78*(1+Data!G82/Data!G81)-Data!G144-Data!G142</f>
        <v>7161.734344894027</v>
      </c>
      <c r="E334" s="61"/>
      <c r="F334" s="561"/>
      <c r="G334" s="161"/>
      <c r="H334" s="143"/>
      <c r="I334" s="47"/>
      <c r="J334" s="559"/>
      <c r="K334" s="560"/>
      <c r="L334" s="560"/>
      <c r="M334" s="560"/>
      <c r="N334" s="560"/>
      <c r="O334" s="47"/>
      <c r="P334" s="47"/>
      <c r="Q334" s="47"/>
      <c r="R334" s="47"/>
      <c r="S334" s="47"/>
    </row>
    <row r="335" spans="1:19" ht="12.75" customHeight="1">
      <c r="A335" s="145" t="s">
        <v>713</v>
      </c>
      <c r="B335" s="557">
        <f>(-Data!E78*(1+Data!E82/Data!E81)-Data!E87+Data!E144)</f>
        <v>714.2397959183673</v>
      </c>
      <c r="C335" s="557">
        <f>(-Data!F78*(1+Data!F82/Data!F81)-Data!F87+Data!F144)</f>
        <v>646.1571202173421</v>
      </c>
      <c r="D335" s="557">
        <f>(-Data!G78*(1+Data!G82/Data!G81)-Data!G87+Data!G144)</f>
        <v>709.734344894027</v>
      </c>
      <c r="H335" s="143"/>
      <c r="I335" s="47"/>
      <c r="J335" s="559"/>
      <c r="K335" s="560"/>
      <c r="L335" s="560"/>
      <c r="M335" s="560"/>
      <c r="N335" s="560"/>
      <c r="O335" s="47"/>
      <c r="P335" s="47"/>
      <c r="Q335" s="47"/>
      <c r="R335" s="47"/>
      <c r="S335" s="47"/>
    </row>
    <row r="336" spans="1:19" ht="12.75" customHeight="1">
      <c r="A336" s="145" t="s">
        <v>715</v>
      </c>
      <c r="B336" s="557">
        <f>((Data!E33-Data!E36-Data!E37-Data!E40-Data!E41-Data!E42-Data!E43-Data!E46-Data!E47-Data!E48-Data!E49)+(Data!D33-Data!D36-Data!D37-Data!D40-Data!D41-Data!D42-Data!D43-Data!D46-Data!D47-Data!D48-Data!D49))/2</f>
        <v>35839.5</v>
      </c>
      <c r="C336" s="557">
        <f>((Data!F33-Data!F36-Data!F37-Data!F40-Data!F41-Data!F42-Data!F43-Data!F46-Data!F47-Data!F48-Data!F49)+(Data!E33-Data!E36-Data!E37-Data!E40-Data!E41-Data!E42-Data!E43-Data!E46-Data!E47-Data!E48-Data!E49))/2</f>
        <v>47022.5</v>
      </c>
      <c r="D336" s="557">
        <f>((Data!G33-Data!G36-Data!G37-Data!G40-Data!G41-Data!G42-Data!G43-Data!G46-Data!G47-Data!G48-Data!G49)+(Data!F33-Data!F36-Data!F37-Data!F40-Data!F41-Data!F42-Data!F43-Data!F46-Data!F47-Data!F48-Data!F49))/2</f>
        <v>49215</v>
      </c>
      <c r="E336" s="161"/>
      <c r="F336" s="161"/>
      <c r="G336" s="61"/>
      <c r="H336" s="143"/>
      <c r="I336" s="47"/>
      <c r="J336" s="559"/>
      <c r="K336" s="47"/>
      <c r="L336" s="47"/>
      <c r="M336" s="47"/>
      <c r="N336" s="47"/>
      <c r="O336" s="47"/>
      <c r="P336" s="47"/>
      <c r="Q336" s="47"/>
      <c r="R336" s="47"/>
      <c r="S336" s="47"/>
    </row>
    <row r="337" spans="1:19" ht="12.75" customHeight="1">
      <c r="A337" s="145" t="s">
        <v>716</v>
      </c>
      <c r="B337" s="557">
        <f>((Data!E38+Data!E39+Data!E45+Data!E52+Data!E58)+(Data!D38+Data!D39+Data!D45+Data!D52+Data!D58))/2</f>
        <v>16749</v>
      </c>
      <c r="C337" s="557">
        <f>((Data!F38+Data!F39+Data!F45+Data!F52+Data!F58)+(Data!E38+Data!E39+Data!E45+Data!E52+Data!E58))/2</f>
        <v>26034</v>
      </c>
      <c r="D337" s="557">
        <f>((Data!G38+Data!G39+Data!G45+Data!G52+Data!G58)+(Data!F38+Data!F39+Data!F45+Data!F52+Data!F58))/2</f>
        <v>27654.5</v>
      </c>
      <c r="E337" s="161"/>
      <c r="F337" s="161"/>
      <c r="G337" s="61"/>
      <c r="H337" s="143"/>
      <c r="I337" s="47"/>
      <c r="J337" s="47"/>
      <c r="K337" s="47"/>
      <c r="L337" s="47"/>
      <c r="M337" s="47"/>
      <c r="N337" s="47"/>
      <c r="O337" s="47"/>
      <c r="P337" s="47"/>
      <c r="Q337" s="47"/>
      <c r="R337" s="47"/>
      <c r="S337" s="47"/>
    </row>
    <row r="338" spans="1:19" ht="12.75" customHeight="1">
      <c r="A338" s="145" t="s">
        <v>717</v>
      </c>
      <c r="B338" s="557">
        <f>(Data!E57+Data!D57)/2</f>
        <v>19090.5</v>
      </c>
      <c r="C338" s="557">
        <f>(Data!F57+Data!E57)/2</f>
        <v>20988.5</v>
      </c>
      <c r="D338" s="557">
        <f>(Data!G57+Data!F57)/2</f>
        <v>21560.5</v>
      </c>
      <c r="E338" s="161"/>
      <c r="F338" s="161"/>
      <c r="G338" s="61"/>
      <c r="H338" s="143"/>
      <c r="I338" s="47"/>
      <c r="J338" s="47"/>
      <c r="K338" s="47"/>
      <c r="L338" s="47"/>
      <c r="M338" s="47"/>
      <c r="N338" s="47"/>
      <c r="O338" s="47"/>
      <c r="P338" s="47"/>
      <c r="Q338" s="47"/>
      <c r="R338" s="47"/>
      <c r="S338" s="47"/>
    </row>
    <row r="339" spans="1:19" ht="12.75" customHeight="1">
      <c r="A339" s="145"/>
      <c r="B339" s="557"/>
      <c r="C339" s="557"/>
      <c r="D339" s="557"/>
      <c r="E339" s="161"/>
      <c r="F339" s="161"/>
      <c r="G339" s="61"/>
      <c r="H339" s="143"/>
      <c r="I339" s="47"/>
      <c r="J339" s="47"/>
      <c r="K339" s="47"/>
      <c r="L339" s="47"/>
      <c r="M339" s="47"/>
      <c r="N339" s="47"/>
      <c r="O339" s="47"/>
      <c r="P339" s="47"/>
      <c r="Q339" s="47"/>
      <c r="R339" s="47"/>
      <c r="S339" s="47"/>
    </row>
    <row r="340" spans="1:19" ht="12.75" customHeight="1">
      <c r="A340" s="145" t="s">
        <v>724</v>
      </c>
      <c r="B340" s="562">
        <f>B334/B333</f>
        <v>0.12772294678098078</v>
      </c>
      <c r="C340" s="562">
        <f>C334/C333</f>
        <v>0.11546910141070224</v>
      </c>
      <c r="D340" s="562">
        <f>D334/D333</f>
        <v>0.10935281171584357</v>
      </c>
      <c r="E340" s="161"/>
      <c r="F340" s="161"/>
      <c r="G340" s="61"/>
      <c r="H340" s="143"/>
      <c r="I340" s="47"/>
      <c r="J340" s="47"/>
      <c r="K340" s="47"/>
      <c r="L340" s="47"/>
      <c r="M340" s="47"/>
      <c r="N340" s="47"/>
      <c r="O340" s="47"/>
      <c r="P340" s="47"/>
      <c r="Q340" s="47"/>
      <c r="R340" s="47"/>
      <c r="S340" s="47"/>
    </row>
    <row r="341" spans="1:19" ht="12.75" customHeight="1">
      <c r="A341" s="145" t="s">
        <v>725</v>
      </c>
      <c r="B341" s="558">
        <f>B333/B336</f>
        <v>1.613805996177402</v>
      </c>
      <c r="C341" s="558">
        <f>C333/C336</f>
        <v>1.4143016640969748</v>
      </c>
      <c r="D341" s="558">
        <f>D333/D336</f>
        <v>1.3307325002539876</v>
      </c>
      <c r="E341" s="61"/>
      <c r="F341" s="61"/>
      <c r="G341" s="61"/>
      <c r="H341" s="143"/>
      <c r="I341" s="47"/>
      <c r="J341" s="47"/>
      <c r="K341" s="47"/>
      <c r="L341" s="47"/>
      <c r="M341" s="47"/>
      <c r="N341" s="47"/>
      <c r="O341" s="47"/>
      <c r="P341" s="47"/>
      <c r="Q341" s="47"/>
      <c r="R341" s="47"/>
      <c r="S341" s="47"/>
    </row>
    <row r="342" spans="1:19" ht="12.75" customHeight="1">
      <c r="A342" s="145" t="s">
        <v>719</v>
      </c>
      <c r="B342" s="558">
        <f>B334/B336</f>
        <v>0.20612005736459402</v>
      </c>
      <c r="C342" s="558">
        <f>C334/C336</f>
        <v>0.16330814227693852</v>
      </c>
      <c r="D342" s="558">
        <f>D334/D336</f>
        <v>0.14551934054442806</v>
      </c>
      <c r="E342" s="61"/>
      <c r="F342" s="564"/>
      <c r="G342" s="564"/>
      <c r="H342" s="143"/>
      <c r="I342" s="47"/>
      <c r="J342" s="47"/>
      <c r="K342" s="47"/>
      <c r="L342" s="47"/>
      <c r="M342" s="47"/>
      <c r="N342" s="47"/>
      <c r="O342" s="47"/>
      <c r="P342" s="47"/>
      <c r="Q342" s="47"/>
      <c r="R342" s="47"/>
      <c r="S342" s="47"/>
    </row>
    <row r="343" spans="1:19" ht="12.75" customHeight="1">
      <c r="A343" s="145"/>
      <c r="B343" s="558"/>
      <c r="C343" s="558"/>
      <c r="D343" s="558"/>
      <c r="E343" s="61"/>
      <c r="F343" s="564"/>
      <c r="G343" s="564"/>
      <c r="H343" s="143"/>
      <c r="I343" s="47"/>
      <c r="J343" s="47"/>
      <c r="K343" s="47"/>
      <c r="L343" s="47"/>
      <c r="M343" s="47"/>
      <c r="N343" s="47"/>
      <c r="O343" s="47"/>
      <c r="P343" s="47"/>
      <c r="Q343" s="47"/>
      <c r="R343" s="47"/>
      <c r="S343" s="47"/>
    </row>
    <row r="344" spans="1:19" ht="12.75" customHeight="1">
      <c r="A344" s="145" t="s">
        <v>720</v>
      </c>
      <c r="B344" s="558">
        <f>B335/B337</f>
        <v>0.04264372774006611</v>
      </c>
      <c r="C344" s="558">
        <f>C335/C337</f>
        <v>0.02481974034790436</v>
      </c>
      <c r="D344" s="558">
        <f>D335/D337</f>
        <v>0.02566433473373328</v>
      </c>
      <c r="E344" s="61"/>
      <c r="F344" s="61"/>
      <c r="G344" s="61"/>
      <c r="H344" s="143"/>
      <c r="I344" s="47"/>
      <c r="J344" s="47"/>
      <c r="K344" s="47"/>
      <c r="L344" s="47"/>
      <c r="M344" s="47"/>
      <c r="N344" s="47"/>
      <c r="O344" s="47"/>
      <c r="P344" s="47"/>
      <c r="Q344" s="47"/>
      <c r="R344" s="47"/>
      <c r="S344" s="47"/>
    </row>
    <row r="345" spans="1:19" ht="12.75" customHeight="1">
      <c r="A345" s="145" t="s">
        <v>721</v>
      </c>
      <c r="B345" s="558">
        <f>B342-B344</f>
        <v>0.1634763296245279</v>
      </c>
      <c r="C345" s="558">
        <f>C342-C344</f>
        <v>0.13848840192903417</v>
      </c>
      <c r="D345" s="558">
        <f>D342-D344</f>
        <v>0.11985500581069478</v>
      </c>
      <c r="E345" s="61"/>
      <c r="F345" s="61"/>
      <c r="G345" s="61"/>
      <c r="H345" s="143"/>
      <c r="I345" s="47"/>
      <c r="J345" s="47"/>
      <c r="K345" s="47"/>
      <c r="L345" s="47"/>
      <c r="M345" s="47"/>
      <c r="N345" s="47"/>
      <c r="O345" s="47"/>
      <c r="P345" s="47"/>
      <c r="Q345" s="47"/>
      <c r="R345" s="47"/>
      <c r="S345" s="47"/>
    </row>
    <row r="346" spans="1:19" ht="12.75" customHeight="1">
      <c r="A346" s="145" t="s">
        <v>722</v>
      </c>
      <c r="B346" s="558">
        <f>B337/B338</f>
        <v>0.8773473717293943</v>
      </c>
      <c r="C346" s="558">
        <f>C337/C338</f>
        <v>1.2403935488481788</v>
      </c>
      <c r="D346" s="558">
        <f>D337/D338</f>
        <v>1.2826465063426173</v>
      </c>
      <c r="E346" s="61"/>
      <c r="F346" s="61"/>
      <c r="G346" s="61"/>
      <c r="H346" s="143"/>
      <c r="I346" s="47"/>
      <c r="J346" s="47"/>
      <c r="K346" s="47"/>
      <c r="L346" s="47"/>
      <c r="M346" s="47"/>
      <c r="N346" s="47"/>
      <c r="O346" s="47"/>
      <c r="P346" s="47"/>
      <c r="Q346" s="47"/>
      <c r="R346" s="47"/>
      <c r="S346" s="47"/>
    </row>
    <row r="347" spans="1:19" ht="12.75" customHeight="1">
      <c r="A347" s="145" t="s">
        <v>723</v>
      </c>
      <c r="B347" s="558">
        <f>B345*B346</f>
        <v>0.14342552813604767</v>
      </c>
      <c r="C347" s="558">
        <f>C345*C346</f>
        <v>0.17178012034306767</v>
      </c>
      <c r="D347" s="558">
        <f>D345*D346</f>
        <v>0.15373160447076176</v>
      </c>
      <c r="E347" s="61"/>
      <c r="F347" s="61"/>
      <c r="G347" s="61"/>
      <c r="H347" s="143"/>
      <c r="I347" s="47"/>
      <c r="J347" s="47"/>
      <c r="K347" s="47"/>
      <c r="L347" s="47"/>
      <c r="M347" s="47"/>
      <c r="N347" s="47"/>
      <c r="O347" s="47"/>
      <c r="P347" s="47"/>
      <c r="Q347" s="47"/>
      <c r="R347" s="47"/>
      <c r="S347" s="47"/>
    </row>
    <row r="348" spans="1:19" ht="12.75" customHeight="1">
      <c r="A348" s="145"/>
      <c r="B348" s="558"/>
      <c r="C348" s="558"/>
      <c r="D348" s="558"/>
      <c r="E348" s="61"/>
      <c r="F348" s="61"/>
      <c r="G348" s="61"/>
      <c r="H348" s="143"/>
      <c r="I348" s="47"/>
      <c r="J348" s="47"/>
      <c r="K348" s="47"/>
      <c r="L348" s="47"/>
      <c r="M348" s="47"/>
      <c r="N348" s="47"/>
      <c r="O348" s="47"/>
      <c r="P348" s="47"/>
      <c r="Q348" s="47"/>
      <c r="R348" s="47"/>
      <c r="S348" s="47"/>
    </row>
    <row r="349" spans="1:19" ht="12.75" customHeight="1">
      <c r="A349" s="145" t="s">
        <v>726</v>
      </c>
      <c r="B349" s="558">
        <f>B342+B347</f>
        <v>0.3495455855006417</v>
      </c>
      <c r="C349" s="558">
        <f>C342+C347</f>
        <v>0.3350882626200062</v>
      </c>
      <c r="D349" s="558">
        <f>D342+D347</f>
        <v>0.2992509450151898</v>
      </c>
      <c r="E349" s="61"/>
      <c r="F349" s="61"/>
      <c r="G349" s="61"/>
      <c r="H349" s="143"/>
      <c r="I349" s="47"/>
      <c r="J349" s="47"/>
      <c r="K349" s="47"/>
      <c r="L349" s="47"/>
      <c r="M349" s="47"/>
      <c r="N349" s="47"/>
      <c r="O349" s="47"/>
      <c r="P349" s="47"/>
      <c r="Q349" s="47"/>
      <c r="R349" s="47"/>
      <c r="S349" s="47"/>
    </row>
    <row r="350" spans="1:19" ht="12.75" customHeight="1">
      <c r="A350" s="163"/>
      <c r="B350" s="141"/>
      <c r="C350" s="141"/>
      <c r="D350" s="141"/>
      <c r="E350" s="166"/>
      <c r="F350" s="166"/>
      <c r="G350" s="166"/>
      <c r="H350" s="167"/>
      <c r="I350" s="47"/>
      <c r="J350" s="47"/>
      <c r="K350" s="47"/>
      <c r="L350" s="47"/>
      <c r="M350" s="47"/>
      <c r="N350" s="47"/>
      <c r="O350" s="47"/>
      <c r="P350" s="47"/>
      <c r="Q350" s="47"/>
      <c r="R350" s="47"/>
      <c r="S350" s="47"/>
    </row>
    <row r="351" spans="1:19" ht="12.75" customHeight="1" thickBot="1">
      <c r="A351" s="168"/>
      <c r="B351" s="71"/>
      <c r="C351" s="71"/>
      <c r="D351" s="71"/>
      <c r="E351" s="71"/>
      <c r="F351" s="71"/>
      <c r="G351" s="71"/>
      <c r="H351" s="169"/>
      <c r="I351" s="47"/>
      <c r="J351" s="47"/>
      <c r="K351" s="47"/>
      <c r="L351" s="47"/>
      <c r="M351" s="47"/>
      <c r="N351" s="47"/>
      <c r="O351" s="47"/>
      <c r="P351" s="47"/>
      <c r="Q351" s="47"/>
      <c r="R351" s="47"/>
      <c r="S351" s="47"/>
    </row>
    <row r="352" spans="1:19" ht="12.75" customHeight="1">
      <c r="A352" s="47"/>
      <c r="B352" s="47"/>
      <c r="C352" s="47"/>
      <c r="D352" s="47"/>
      <c r="E352" s="47"/>
      <c r="F352" s="47"/>
      <c r="G352" s="47"/>
      <c r="H352" s="47"/>
      <c r="I352" s="47"/>
      <c r="J352" s="47"/>
      <c r="K352" s="47"/>
      <c r="L352" s="47"/>
      <c r="M352" s="47"/>
      <c r="N352" s="47"/>
      <c r="O352" s="47"/>
      <c r="P352" s="47"/>
      <c r="Q352" s="47"/>
      <c r="R352" s="47"/>
      <c r="S352" s="47"/>
    </row>
    <row r="353" spans="1:19" ht="12.75" customHeight="1">
      <c r="A353" s="47"/>
      <c r="B353" s="47"/>
      <c r="C353" s="47"/>
      <c r="D353" s="47"/>
      <c r="E353" s="47"/>
      <c r="F353" s="47"/>
      <c r="G353" s="47"/>
      <c r="H353" s="47"/>
      <c r="I353" s="47"/>
      <c r="J353" s="47"/>
      <c r="K353" s="47"/>
      <c r="L353" s="47"/>
      <c r="M353" s="47"/>
      <c r="N353" s="47"/>
      <c r="O353" s="47"/>
      <c r="P353" s="47"/>
      <c r="Q353" s="47"/>
      <c r="R353" s="47"/>
      <c r="S353" s="47"/>
    </row>
    <row r="354" spans="1:21" ht="12.75" customHeight="1" thickBot="1">
      <c r="A354" s="47"/>
      <c r="B354" s="47"/>
      <c r="C354" s="47"/>
      <c r="D354" s="47"/>
      <c r="E354" s="47"/>
      <c r="F354" s="47"/>
      <c r="G354" s="47"/>
      <c r="H354" s="47"/>
      <c r="I354" s="47"/>
      <c r="J354" s="47"/>
      <c r="K354" s="47"/>
      <c r="L354" s="47"/>
      <c r="M354" s="47"/>
      <c r="N354" s="47"/>
      <c r="O354" s="47"/>
      <c r="P354" s="47"/>
      <c r="Q354" s="47"/>
      <c r="R354" s="47"/>
      <c r="S354" s="47"/>
      <c r="T354" s="47"/>
      <c r="U354" s="47"/>
    </row>
    <row r="355" spans="1:21" ht="12.75" customHeight="1" thickBot="1">
      <c r="A355" s="103" t="s">
        <v>365</v>
      </c>
      <c r="B355" s="133"/>
      <c r="C355" s="133"/>
      <c r="D355" s="133"/>
      <c r="E355" s="133"/>
      <c r="F355" s="134"/>
      <c r="G355" s="170"/>
      <c r="H355" s="47"/>
      <c r="I355" s="47"/>
      <c r="J355" s="109" t="s">
        <v>508</v>
      </c>
      <c r="K355" s="47"/>
      <c r="L355" s="47"/>
      <c r="M355" s="47"/>
      <c r="N355" s="47"/>
      <c r="O355" s="47"/>
      <c r="P355" s="47"/>
      <c r="Q355" s="47"/>
      <c r="R355" s="47"/>
      <c r="S355" s="47"/>
      <c r="T355" s="47"/>
      <c r="U355" s="47"/>
    </row>
    <row r="356" spans="1:21" ht="12.75" customHeight="1" thickBot="1">
      <c r="A356" s="76" t="s">
        <v>19</v>
      </c>
      <c r="B356" s="77">
        <f>Data!$C$11</f>
        <v>2008</v>
      </c>
      <c r="C356" s="77">
        <f>Data!$D$11</f>
        <v>2009</v>
      </c>
      <c r="D356" s="77">
        <f>Data!$E$11</f>
        <v>2010</v>
      </c>
      <c r="E356" s="77">
        <f>Data!$F$11</f>
        <v>2011</v>
      </c>
      <c r="F356" s="77">
        <f>Data!$G$11</f>
        <v>2012</v>
      </c>
      <c r="G356" s="171"/>
      <c r="H356" s="47"/>
      <c r="I356" s="47"/>
      <c r="J356" s="47" t="s">
        <v>509</v>
      </c>
      <c r="K356" s="47"/>
      <c r="L356" s="47"/>
      <c r="M356" s="47"/>
      <c r="N356" s="47"/>
      <c r="O356" s="47"/>
      <c r="P356" s="47"/>
      <c r="Q356" s="47"/>
      <c r="R356" s="47"/>
      <c r="S356" s="47"/>
      <c r="T356" s="47"/>
      <c r="U356" s="47"/>
    </row>
    <row r="357" spans="1:21" ht="12.75" customHeight="1">
      <c r="A357" s="70"/>
      <c r="B357" s="135"/>
      <c r="C357" s="136"/>
      <c r="D357" s="135"/>
      <c r="E357" s="136"/>
      <c r="F357" s="137"/>
      <c r="G357" s="172"/>
      <c r="H357" s="47"/>
      <c r="I357" s="47"/>
      <c r="J357" s="47" t="s">
        <v>510</v>
      </c>
      <c r="K357" s="47"/>
      <c r="L357" s="47"/>
      <c r="M357" s="47"/>
      <c r="N357" s="47"/>
      <c r="O357" s="47"/>
      <c r="P357" s="47"/>
      <c r="Q357" s="47"/>
      <c r="R357" s="47"/>
      <c r="S357" s="47"/>
      <c r="T357" s="47"/>
      <c r="U357" s="47"/>
    </row>
    <row r="358" spans="1:21" ht="12.75" customHeight="1">
      <c r="A358" s="139" t="s">
        <v>366</v>
      </c>
      <c r="B358" s="118"/>
      <c r="C358" s="138"/>
      <c r="D358" s="138"/>
      <c r="E358" s="136"/>
      <c r="F358" s="137"/>
      <c r="G358" s="172"/>
      <c r="H358" s="47"/>
      <c r="I358" s="47"/>
      <c r="J358" s="47"/>
      <c r="K358" s="47"/>
      <c r="L358" s="47"/>
      <c r="M358" s="47"/>
      <c r="N358" s="47"/>
      <c r="O358" s="47"/>
      <c r="P358" s="47"/>
      <c r="Q358" s="47"/>
      <c r="R358" s="47"/>
      <c r="S358" s="47"/>
      <c r="T358" s="47"/>
      <c r="U358" s="47"/>
    </row>
    <row r="359" spans="1:21" ht="12.75" customHeight="1">
      <c r="A359" s="27" t="str">
        <f>Data!A97</f>
        <v>Net Income</v>
      </c>
      <c r="B359" s="27">
        <f>Data!C97</f>
        <v>5166</v>
      </c>
      <c r="C359" s="27">
        <f>Data!D97</f>
        <v>5979</v>
      </c>
      <c r="D359" s="27">
        <f>Data!E97</f>
        <v>6338</v>
      </c>
      <c r="E359" s="27">
        <f>Data!F97</f>
        <v>6462</v>
      </c>
      <c r="F359" s="27">
        <f>Data!G97</f>
        <v>6214</v>
      </c>
      <c r="G359" s="151"/>
      <c r="H359" s="47"/>
      <c r="I359" s="47"/>
      <c r="J359" s="47"/>
      <c r="K359" s="47"/>
      <c r="L359" s="47"/>
      <c r="M359" s="47"/>
      <c r="N359" s="47"/>
      <c r="O359" s="47"/>
      <c r="P359" s="47"/>
      <c r="Q359" s="47"/>
      <c r="R359" s="47"/>
      <c r="S359" s="47"/>
      <c r="T359" s="47"/>
      <c r="U359" s="47"/>
    </row>
    <row r="360" spans="1:21" ht="12.75" customHeight="1">
      <c r="A360" s="4" t="str">
        <f>Data!A98</f>
        <v>Add back depreciation and amortization expenses</v>
      </c>
      <c r="B360" s="4">
        <f>Data!C98</f>
        <v>1543</v>
      </c>
      <c r="C360" s="4">
        <f>Data!D98</f>
        <v>1635</v>
      </c>
      <c r="D360" s="4">
        <f>Data!E98</f>
        <v>2327</v>
      </c>
      <c r="E360" s="4">
        <f>Data!F98</f>
        <v>2737</v>
      </c>
      <c r="F360" s="4">
        <f>Data!G98</f>
        <v>2689</v>
      </c>
      <c r="G360" s="151"/>
      <c r="H360" s="47"/>
      <c r="I360" s="47"/>
      <c r="J360" s="47"/>
      <c r="K360" s="47"/>
      <c r="L360" s="47"/>
      <c r="M360" s="47"/>
      <c r="N360" s="47"/>
      <c r="O360" s="47"/>
      <c r="P360" s="47"/>
      <c r="Q360" s="47"/>
      <c r="R360" s="47"/>
      <c r="S360" s="47"/>
      <c r="T360" s="47"/>
      <c r="U360" s="47"/>
    </row>
    <row r="361" spans="1:21" ht="12.75" customHeight="1">
      <c r="A361" s="521" t="s">
        <v>641</v>
      </c>
      <c r="B361" s="173">
        <f>SUM(Data!C102:C110)</f>
        <v>-424</v>
      </c>
      <c r="C361" s="173">
        <f>SUM(Data!D102:D110)</f>
        <v>264</v>
      </c>
      <c r="D361" s="173">
        <f>SUM(Data!E102:E110)</f>
        <v>763</v>
      </c>
      <c r="E361" s="173">
        <f>SUM(Data!F102:F110)</f>
        <v>-844</v>
      </c>
      <c r="F361" s="173">
        <f>SUM(Data!G102:G110)</f>
        <v>434</v>
      </c>
      <c r="G361" s="151"/>
      <c r="H361" s="47"/>
      <c r="I361" s="47"/>
      <c r="J361" s="47"/>
      <c r="K361" s="47"/>
      <c r="L361" s="47"/>
      <c r="M361" s="47"/>
      <c r="N361" s="47"/>
      <c r="O361" s="47"/>
      <c r="P361" s="47"/>
      <c r="Q361" s="47"/>
      <c r="R361" s="47"/>
      <c r="S361" s="47"/>
      <c r="T361" s="47"/>
      <c r="U361" s="47"/>
    </row>
    <row r="362" spans="1:21" ht="12.75" customHeight="1">
      <c r="A362" s="521" t="s">
        <v>642</v>
      </c>
      <c r="B362" s="173">
        <f>SUM(Data!C99:C101)+SUM(Data!C111:C112)</f>
        <v>714</v>
      </c>
      <c r="C362" s="173">
        <f>SUM(Data!D99:D101)+SUM(Data!D111:D112)</f>
        <v>-1082</v>
      </c>
      <c r="D362" s="173">
        <f>SUM(Data!E99:E101)+SUM(Data!E111:E112)</f>
        <v>-980</v>
      </c>
      <c r="E362" s="173">
        <f>SUM(Data!F99:F101)+SUM(Data!F111:F112)</f>
        <v>589</v>
      </c>
      <c r="F362" s="173">
        <f>SUM(Data!G99:G101)+SUM(Data!G111:G112)</f>
        <v>-858</v>
      </c>
      <c r="G362" s="151"/>
      <c r="H362" s="47"/>
      <c r="I362" s="47"/>
      <c r="J362" s="47"/>
      <c r="K362" s="47"/>
      <c r="L362" s="47"/>
      <c r="M362" s="47"/>
      <c r="N362" s="47"/>
      <c r="O362" s="47"/>
      <c r="P362" s="47"/>
      <c r="Q362" s="47"/>
      <c r="R362" s="47"/>
      <c r="S362" s="47"/>
      <c r="T362" s="47"/>
      <c r="U362" s="47"/>
    </row>
    <row r="363" spans="1:21" ht="12.75" customHeight="1">
      <c r="A363" s="27" t="str">
        <f>Data!A113</f>
        <v>  Net CF from Operating Activities</v>
      </c>
      <c r="B363" s="27">
        <f>SUM(B359:B362)</f>
        <v>6999</v>
      </c>
      <c r="C363" s="27">
        <f>SUM(C359:C362)</f>
        <v>6796</v>
      </c>
      <c r="D363" s="27">
        <f>SUM(D359:D362)</f>
        <v>8448</v>
      </c>
      <c r="E363" s="27">
        <f>SUM(E359:E362)</f>
        <v>8944</v>
      </c>
      <c r="F363" s="27">
        <f>SUM(F359:F362)</f>
        <v>8479</v>
      </c>
      <c r="G363" s="151"/>
      <c r="H363" s="47"/>
      <c r="I363" s="47"/>
      <c r="J363" s="47"/>
      <c r="K363" s="47"/>
      <c r="L363" s="47"/>
      <c r="M363" s="47"/>
      <c r="N363" s="47"/>
      <c r="O363" s="47"/>
      <c r="P363" s="47"/>
      <c r="Q363" s="47"/>
      <c r="R363" s="47"/>
      <c r="S363" s="47"/>
      <c r="T363" s="47"/>
      <c r="U363" s="47"/>
    </row>
    <row r="364" spans="1:21" ht="12.75" customHeight="1">
      <c r="A364" s="4"/>
      <c r="B364" s="4"/>
      <c r="C364" s="4"/>
      <c r="D364" s="4"/>
      <c r="E364" s="4"/>
      <c r="F364" s="4"/>
      <c r="G364" s="151"/>
      <c r="H364" s="47"/>
      <c r="I364" s="47"/>
      <c r="J364" s="47"/>
      <c r="K364" s="47"/>
      <c r="L364" s="47"/>
      <c r="M364" s="47"/>
      <c r="N364" s="47"/>
      <c r="O364" s="47"/>
      <c r="P364" s="47"/>
      <c r="Q364" s="47"/>
      <c r="R364" s="47"/>
      <c r="S364" s="47"/>
      <c r="T364" s="47"/>
      <c r="U364" s="47"/>
    </row>
    <row r="365" spans="1:21" ht="12.75" customHeight="1">
      <c r="A365" s="27" t="s">
        <v>367</v>
      </c>
      <c r="B365" s="4"/>
      <c r="C365" s="4"/>
      <c r="D365" s="4"/>
      <c r="E365" s="4"/>
      <c r="F365" s="4"/>
      <c r="G365" s="151"/>
      <c r="H365" s="47"/>
      <c r="I365" s="47"/>
      <c r="J365" s="47"/>
      <c r="K365" s="47"/>
      <c r="L365" s="47"/>
      <c r="M365" s="47"/>
      <c r="N365" s="47"/>
      <c r="O365" s="47"/>
      <c r="P365" s="47"/>
      <c r="Q365" s="47"/>
      <c r="R365" s="47"/>
      <c r="S365" s="47"/>
      <c r="T365" s="47"/>
      <c r="U365" s="47"/>
    </row>
    <row r="366" spans="1:21" ht="12.75" customHeight="1">
      <c r="A366" s="521" t="s">
        <v>643</v>
      </c>
      <c r="B366" s="173">
        <f>Data!C114+Data!C115</f>
        <v>-2348</v>
      </c>
      <c r="C366" s="173">
        <f>Data!D114+Data!D115</f>
        <v>-2070</v>
      </c>
      <c r="D366" s="173">
        <f>Data!E114+Data!E115</f>
        <v>-3172</v>
      </c>
      <c r="E366" s="173">
        <f>Data!F114+Data!F115</f>
        <v>-3255</v>
      </c>
      <c r="F366" s="173">
        <f>Data!G114+Data!G115</f>
        <v>-2619</v>
      </c>
      <c r="G366" s="151"/>
      <c r="H366" s="47"/>
      <c r="I366" s="47"/>
      <c r="J366" s="47"/>
      <c r="K366" s="47"/>
      <c r="L366" s="47"/>
      <c r="M366" s="47"/>
      <c r="N366" s="47"/>
      <c r="O366" s="47"/>
      <c r="P366" s="47"/>
      <c r="Q366" s="47"/>
      <c r="R366" s="47"/>
      <c r="S366" s="47"/>
      <c r="T366" s="47"/>
      <c r="U366" s="47"/>
    </row>
    <row r="367" spans="1:21" ht="12.75" customHeight="1">
      <c r="A367" s="81" t="s">
        <v>368</v>
      </c>
      <c r="B367" s="173">
        <f>SUM(Data!C116:C118)</f>
        <v>-279</v>
      </c>
      <c r="C367" s="173">
        <f>SUM(Data!D116:D118)</f>
        <v>-346</v>
      </c>
      <c r="D367" s="173">
        <f>SUM(Data!E116:E118)</f>
        <v>-4479</v>
      </c>
      <c r="E367" s="173">
        <f>SUM(Data!F116:F118)</f>
        <v>-2347</v>
      </c>
      <c r="F367" s="173">
        <f>SUM(Data!G116:G118)</f>
        <v>-398</v>
      </c>
      <c r="G367" s="151"/>
      <c r="H367" s="47"/>
      <c r="I367" s="47"/>
      <c r="J367" s="47"/>
      <c r="K367" s="47"/>
      <c r="L367" s="47"/>
      <c r="M367" s="47"/>
      <c r="N367" s="47"/>
      <c r="O367" s="47"/>
      <c r="P367" s="47"/>
      <c r="Q367" s="47"/>
      <c r="R367" s="47"/>
      <c r="S367" s="47"/>
      <c r="T367" s="47"/>
      <c r="U367" s="47"/>
    </row>
    <row r="368" spans="1:21" ht="12.75" customHeight="1">
      <c r="A368" s="521" t="s">
        <v>644</v>
      </c>
      <c r="B368" s="173">
        <f>Data!C119+Data!C120</f>
        <v>-40</v>
      </c>
      <c r="C368" s="173">
        <f>Data!D119+Data!D120</f>
        <v>15</v>
      </c>
      <c r="D368" s="173">
        <f>Data!E119+Data!E120</f>
        <v>-17</v>
      </c>
      <c r="E368" s="173">
        <f>Data!F119+Data!F120</f>
        <v>-16</v>
      </c>
      <c r="F368" s="173">
        <f>Data!G119+Data!G120</f>
        <v>12</v>
      </c>
      <c r="G368" s="151"/>
      <c r="H368" s="47"/>
      <c r="I368" s="47"/>
      <c r="J368" s="47"/>
      <c r="K368" s="47"/>
      <c r="L368" s="47"/>
      <c r="M368" s="47"/>
      <c r="N368" s="47"/>
      <c r="O368" s="47"/>
      <c r="P368" s="47"/>
      <c r="Q368" s="47"/>
      <c r="R368" s="47"/>
      <c r="S368" s="47"/>
      <c r="T368" s="47"/>
      <c r="U368" s="47"/>
    </row>
    <row r="369" spans="1:21" ht="12.75" customHeight="1">
      <c r="A369" s="27" t="str">
        <f>Data!A121</f>
        <v>  Net CF from Investing Activities</v>
      </c>
      <c r="B369" s="174">
        <f>SUM(B366:B368)</f>
        <v>-2667</v>
      </c>
      <c r="C369" s="174">
        <f>SUM(C366:C368)</f>
        <v>-2401</v>
      </c>
      <c r="D369" s="174">
        <f>SUM(D366:D368)</f>
        <v>-7668</v>
      </c>
      <c r="E369" s="174">
        <f>SUM(E366:E368)</f>
        <v>-5618</v>
      </c>
      <c r="F369" s="174">
        <f>SUM(F366:F368)</f>
        <v>-3005</v>
      </c>
      <c r="G369" s="175"/>
      <c r="H369" s="47"/>
      <c r="I369" s="47"/>
      <c r="J369" s="47"/>
      <c r="K369" s="47"/>
      <c r="L369" s="47"/>
      <c r="M369" s="47"/>
      <c r="N369" s="47"/>
      <c r="O369" s="47"/>
      <c r="P369" s="47"/>
      <c r="Q369" s="47"/>
      <c r="R369" s="47"/>
      <c r="S369" s="47"/>
      <c r="T369" s="47"/>
      <c r="U369" s="47"/>
    </row>
    <row r="370" spans="1:21" ht="12.75" customHeight="1">
      <c r="A370" s="81"/>
      <c r="B370" s="173"/>
      <c r="C370" s="173"/>
      <c r="D370" s="173"/>
      <c r="E370" s="173"/>
      <c r="F370" s="173"/>
      <c r="G370" s="151"/>
      <c r="H370" s="47"/>
      <c r="I370" s="47"/>
      <c r="J370" s="47"/>
      <c r="K370" s="47"/>
      <c r="L370" s="47"/>
      <c r="M370" s="47"/>
      <c r="N370" s="47"/>
      <c r="O370" s="47"/>
      <c r="P370" s="47"/>
      <c r="Q370" s="47"/>
      <c r="R370" s="47"/>
      <c r="S370" s="47"/>
      <c r="T370" s="47"/>
      <c r="U370" s="47"/>
    </row>
    <row r="371" spans="1:21" ht="12.75" customHeight="1">
      <c r="A371" s="102" t="s">
        <v>369</v>
      </c>
      <c r="B371" s="173"/>
      <c r="C371" s="173"/>
      <c r="D371" s="173"/>
      <c r="E371" s="173"/>
      <c r="F371" s="173"/>
      <c r="G371" s="47"/>
      <c r="H371" s="47"/>
      <c r="I371" s="47"/>
      <c r="J371" s="47"/>
      <c r="K371" s="47"/>
      <c r="L371" s="47"/>
      <c r="M371" s="47"/>
      <c r="N371" s="47"/>
      <c r="O371" s="47"/>
      <c r="P371" s="47"/>
      <c r="Q371" s="47"/>
      <c r="R371" s="47"/>
      <c r="S371" s="47"/>
      <c r="T371" s="47"/>
      <c r="U371" s="47"/>
    </row>
    <row r="372" spans="1:21" ht="12.75" customHeight="1">
      <c r="A372" s="521" t="s">
        <v>645</v>
      </c>
      <c r="B372" s="173">
        <f>Data!C122</f>
        <v>445</v>
      </c>
      <c r="C372" s="173">
        <f>Data!D122</f>
        <v>-1018</v>
      </c>
      <c r="D372" s="173">
        <f>Data!E122</f>
        <v>2482</v>
      </c>
      <c r="E372" s="173">
        <f>Data!F122</f>
        <v>303</v>
      </c>
      <c r="F372" s="173">
        <f>Data!G122</f>
        <v>-1461</v>
      </c>
      <c r="G372" s="47"/>
      <c r="H372" s="47"/>
      <c r="I372" s="47"/>
      <c r="J372" s="47"/>
      <c r="K372" s="47"/>
      <c r="L372" s="47"/>
      <c r="M372" s="47"/>
      <c r="N372" s="47"/>
      <c r="O372" s="47"/>
      <c r="P372" s="47"/>
      <c r="Q372" s="47"/>
      <c r="R372" s="47"/>
      <c r="S372" s="47"/>
      <c r="T372" s="47"/>
      <c r="U372" s="47"/>
    </row>
    <row r="373" spans="1:21" ht="12.75" customHeight="1">
      <c r="A373" s="521" t="s">
        <v>646</v>
      </c>
      <c r="B373" s="173">
        <f>Data!C123</f>
        <v>3070</v>
      </c>
      <c r="C373" s="173">
        <f>Data!D123</f>
        <v>831</v>
      </c>
      <c r="D373" s="173">
        <f>Data!E123</f>
        <v>5892</v>
      </c>
      <c r="E373" s="173">
        <f>Data!F123</f>
        <v>633</v>
      </c>
      <c r="F373" s="173">
        <f>Data!G123</f>
        <v>3550</v>
      </c>
      <c r="G373" s="47"/>
      <c r="H373" s="47"/>
      <c r="I373" s="47"/>
      <c r="J373" s="47"/>
      <c r="K373" s="47"/>
      <c r="L373" s="47"/>
      <c r="M373" s="47"/>
      <c r="N373" s="47"/>
      <c r="O373" s="47"/>
      <c r="P373" s="47"/>
      <c r="Q373" s="47"/>
      <c r="R373" s="47"/>
      <c r="S373" s="47"/>
      <c r="T373" s="47"/>
      <c r="U373" s="47"/>
    </row>
    <row r="374" spans="1:21" ht="12.75" customHeight="1">
      <c r="A374" s="521" t="s">
        <v>647</v>
      </c>
      <c r="B374" s="173">
        <f>Data!C124+Data!C125+Data!C126</f>
        <v>-4106</v>
      </c>
      <c r="C374" s="173">
        <f>Data!D124+Data!D125+Data!D126</f>
        <v>448</v>
      </c>
      <c r="D374" s="173">
        <f>Data!E124+Data!E125+Data!E126</f>
        <v>-3838</v>
      </c>
      <c r="E374" s="173">
        <f>Data!F124+Data!F125+Data!F126</f>
        <v>-1481</v>
      </c>
      <c r="F374" s="173">
        <f>Data!G124+Data!G125+Data!G126</f>
        <v>-1980</v>
      </c>
      <c r="G374" s="47"/>
      <c r="H374" s="47"/>
      <c r="I374" s="47"/>
      <c r="J374" s="47"/>
      <c r="K374" s="47"/>
      <c r="L374" s="47"/>
      <c r="M374" s="47"/>
      <c r="N374" s="47"/>
      <c r="O374" s="47"/>
      <c r="P374" s="47"/>
      <c r="Q374" s="47"/>
      <c r="R374" s="47"/>
      <c r="S374" s="47"/>
      <c r="T374" s="47"/>
      <c r="U374" s="47"/>
    </row>
    <row r="375" spans="1:21" ht="12.75" customHeight="1">
      <c r="A375" s="81" t="s">
        <v>495</v>
      </c>
      <c r="B375" s="173">
        <f>Data!C127</f>
        <v>-2541</v>
      </c>
      <c r="C375" s="173">
        <f>Data!D127</f>
        <v>-2732</v>
      </c>
      <c r="D375" s="173">
        <f>Data!E127</f>
        <v>-2978</v>
      </c>
      <c r="E375" s="173">
        <f>Data!F127</f>
        <v>-3157</v>
      </c>
      <c r="F375" s="173">
        <f>Data!G127</f>
        <v>-3305</v>
      </c>
      <c r="G375" s="47"/>
      <c r="H375" s="47"/>
      <c r="I375" s="47"/>
      <c r="J375" s="47"/>
      <c r="K375" s="47"/>
      <c r="L375" s="47"/>
      <c r="M375" s="47"/>
      <c r="N375" s="47"/>
      <c r="O375" s="47"/>
      <c r="P375" s="47"/>
      <c r="Q375" s="47"/>
      <c r="R375" s="47"/>
      <c r="S375" s="47"/>
      <c r="T375" s="47"/>
      <c r="U375" s="47"/>
    </row>
    <row r="376" spans="1:21" ht="12.75" customHeight="1">
      <c r="A376" s="521" t="s">
        <v>648</v>
      </c>
      <c r="B376" s="173">
        <f>Data!C128+Data!C129</f>
        <v>107</v>
      </c>
      <c r="C376" s="173">
        <f>Data!D128+Data!D129</f>
        <v>-26</v>
      </c>
      <c r="D376" s="173">
        <f>Data!E128+Data!E129</f>
        <v>-172</v>
      </c>
      <c r="E376" s="173">
        <f>Data!F128+Data!F129</f>
        <v>-1433</v>
      </c>
      <c r="F376" s="173">
        <f>Data!G128+Data!G129</f>
        <v>-110</v>
      </c>
      <c r="G376" s="47"/>
      <c r="H376" s="47"/>
      <c r="I376" s="47"/>
      <c r="J376" s="47"/>
      <c r="K376" s="47"/>
      <c r="L376" s="47"/>
      <c r="M376" s="47"/>
      <c r="N376" s="47"/>
      <c r="O376" s="47"/>
      <c r="P376" s="47"/>
      <c r="Q376" s="47"/>
      <c r="R376" s="47"/>
      <c r="S376" s="47"/>
      <c r="T376" s="47"/>
      <c r="U376" s="47"/>
    </row>
    <row r="377" spans="1:21" ht="12.75" customHeight="1">
      <c r="A377" s="27" t="str">
        <f>Data!A130</f>
        <v>  Net CF from Financing Activities</v>
      </c>
      <c r="B377" s="174">
        <f>SUM(B372:B376)</f>
        <v>-3025</v>
      </c>
      <c r="C377" s="174">
        <f>SUM(C372:C376)</f>
        <v>-2497</v>
      </c>
      <c r="D377" s="174">
        <f>SUM(D372:D376)</f>
        <v>1386</v>
      </c>
      <c r="E377" s="174">
        <f>SUM(E372:E376)</f>
        <v>-5135</v>
      </c>
      <c r="F377" s="174">
        <f>SUM(F372:F376)</f>
        <v>-3306</v>
      </c>
      <c r="G377" s="47"/>
      <c r="H377" s="47"/>
      <c r="I377" s="47"/>
      <c r="J377" s="47"/>
      <c r="K377" s="47"/>
      <c r="L377" s="47"/>
      <c r="M377" s="47"/>
      <c r="N377" s="47"/>
      <c r="O377" s="47"/>
      <c r="P377" s="47"/>
      <c r="Q377" s="47"/>
      <c r="R377" s="47"/>
      <c r="S377" s="47"/>
      <c r="T377" s="47"/>
      <c r="U377" s="47"/>
    </row>
    <row r="378" spans="1:21" ht="12.75" customHeight="1">
      <c r="A378" s="81"/>
      <c r="B378" s="173"/>
      <c r="C378" s="173"/>
      <c r="D378" s="173"/>
      <c r="E378" s="173"/>
      <c r="F378" s="173"/>
      <c r="G378" s="47"/>
      <c r="H378" s="47"/>
      <c r="I378" s="47"/>
      <c r="J378" s="47"/>
      <c r="K378" s="47"/>
      <c r="L378" s="47"/>
      <c r="M378" s="47"/>
      <c r="N378" s="47"/>
      <c r="O378" s="47"/>
      <c r="P378" s="47"/>
      <c r="Q378" s="47"/>
      <c r="R378" s="47"/>
      <c r="S378" s="47"/>
      <c r="T378" s="47"/>
      <c r="U378" s="47"/>
    </row>
    <row r="379" spans="1:21" ht="12.75">
      <c r="A379" s="4" t="str">
        <f>Data!A131</f>
        <v>Effects of exchange rate changes on cash</v>
      </c>
      <c r="B379" s="4">
        <f>Data!C131</f>
        <v>-153</v>
      </c>
      <c r="C379" s="4">
        <f>Data!D131</f>
        <v>-19</v>
      </c>
      <c r="D379" s="4">
        <f>Data!E131</f>
        <v>-166</v>
      </c>
      <c r="E379" s="4">
        <f>Data!F131</f>
        <v>-67</v>
      </c>
      <c r="F379" s="4">
        <f>Data!G131</f>
        <v>62</v>
      </c>
      <c r="G379" s="47"/>
      <c r="H379" s="47"/>
      <c r="I379" s="47"/>
      <c r="J379" s="47"/>
      <c r="K379" s="47"/>
      <c r="L379" s="47"/>
      <c r="M379" s="47"/>
      <c r="N379" s="47"/>
      <c r="O379" s="47"/>
      <c r="P379" s="47"/>
      <c r="Q379" s="47"/>
      <c r="R379" s="47"/>
      <c r="S379" s="47"/>
      <c r="T379" s="47"/>
      <c r="U379" s="47"/>
    </row>
    <row r="380" spans="1:21" ht="12.75">
      <c r="A380" s="27" t="str">
        <f>Data!A132</f>
        <v>  Net Change in Cash</v>
      </c>
      <c r="B380" s="27">
        <f>B363+B369+B377+B379</f>
        <v>1154</v>
      </c>
      <c r="C380" s="27">
        <f>C363+C369+C377+C379</f>
        <v>1879</v>
      </c>
      <c r="D380" s="27">
        <f>D363+D369+D377+D379</f>
        <v>2000</v>
      </c>
      <c r="E380" s="27">
        <f>E363+E369+E377+E379</f>
        <v>-1876</v>
      </c>
      <c r="F380" s="27">
        <f>F363+F369+F377+F379</f>
        <v>2230</v>
      </c>
      <c r="G380" s="47"/>
      <c r="H380" s="47"/>
      <c r="I380" s="47"/>
      <c r="J380" s="47"/>
      <c r="K380" s="47"/>
      <c r="L380" s="47"/>
      <c r="M380" s="47"/>
      <c r="N380" s="47"/>
      <c r="O380" s="47"/>
      <c r="P380" s="47"/>
      <c r="Q380" s="47"/>
      <c r="R380" s="47"/>
      <c r="S380" s="47"/>
      <c r="T380" s="47"/>
      <c r="U380" s="47"/>
    </row>
    <row r="381" spans="1:21" ht="12.75">
      <c r="A381" s="47"/>
      <c r="B381" s="47"/>
      <c r="C381" s="47"/>
      <c r="D381" s="47"/>
      <c r="E381" s="47"/>
      <c r="F381" s="47"/>
      <c r="G381" s="47"/>
      <c r="H381" s="47"/>
      <c r="I381" s="47"/>
      <c r="J381" s="47"/>
      <c r="K381" s="47"/>
      <c r="L381" s="47"/>
      <c r="M381" s="47"/>
      <c r="N381" s="47"/>
      <c r="O381" s="47"/>
      <c r="P381" s="47"/>
      <c r="Q381" s="47"/>
      <c r="R381" s="47"/>
      <c r="S381" s="47"/>
      <c r="T381" s="47"/>
      <c r="U381" s="47"/>
    </row>
    <row r="382" spans="1:21" ht="12.75">
      <c r="A382" s="47"/>
      <c r="B382" s="47"/>
      <c r="C382" s="47"/>
      <c r="D382" s="47"/>
      <c r="E382" s="47"/>
      <c r="F382" s="47"/>
      <c r="G382" s="47"/>
      <c r="H382" s="47"/>
      <c r="I382" s="47"/>
      <c r="J382" s="47"/>
      <c r="K382" s="47"/>
      <c r="L382" s="47"/>
      <c r="M382" s="47"/>
      <c r="N382" s="47"/>
      <c r="O382" s="47"/>
      <c r="P382" s="47"/>
      <c r="Q382" s="47"/>
      <c r="R382" s="47"/>
      <c r="S382" s="47"/>
      <c r="T382" s="47"/>
      <c r="U382" s="47"/>
    </row>
    <row r="383" spans="1:21" ht="12.75">
      <c r="A383" s="47"/>
      <c r="B383" s="47"/>
      <c r="C383" s="47"/>
      <c r="D383" s="47"/>
      <c r="E383" s="47"/>
      <c r="F383" s="47"/>
      <c r="G383" s="47"/>
      <c r="H383" s="47"/>
      <c r="I383" s="47"/>
      <c r="J383" s="47"/>
      <c r="K383" s="47"/>
      <c r="L383" s="47"/>
      <c r="M383" s="47"/>
      <c r="N383" s="47"/>
      <c r="O383" s="47"/>
      <c r="P383" s="47"/>
      <c r="Q383" s="47"/>
      <c r="R383" s="47"/>
      <c r="S383" s="47"/>
      <c r="T383" s="47"/>
      <c r="U383" s="47"/>
    </row>
    <row r="384" spans="1:21" ht="12.75">
      <c r="A384" s="47"/>
      <c r="B384" s="47"/>
      <c r="C384" s="47"/>
      <c r="D384" s="47"/>
      <c r="E384" s="47"/>
      <c r="F384" s="47"/>
      <c r="G384" s="47"/>
      <c r="H384" s="47"/>
      <c r="I384" s="47"/>
      <c r="J384" s="47"/>
      <c r="K384" s="47"/>
      <c r="L384" s="47"/>
      <c r="M384" s="47"/>
      <c r="N384" s="47"/>
      <c r="O384" s="47"/>
      <c r="P384" s="47"/>
      <c r="Q384" s="47"/>
      <c r="R384" s="47"/>
      <c r="S384" s="47"/>
      <c r="T384" s="47"/>
      <c r="U384" s="47"/>
    </row>
    <row r="385" spans="1:21" ht="12.75">
      <c r="A385" s="47"/>
      <c r="B385" s="47"/>
      <c r="C385" s="47"/>
      <c r="D385" s="47"/>
      <c r="E385" s="47"/>
      <c r="F385" s="47"/>
      <c r="G385" s="47"/>
      <c r="H385" s="47"/>
      <c r="I385" s="47"/>
      <c r="J385" s="47"/>
      <c r="K385" s="47"/>
      <c r="L385" s="47"/>
      <c r="M385" s="47"/>
      <c r="N385" s="47"/>
      <c r="O385" s="47"/>
      <c r="P385" s="47"/>
      <c r="Q385" s="47"/>
      <c r="R385" s="47"/>
      <c r="S385" s="47"/>
      <c r="T385" s="47"/>
      <c r="U385" s="47"/>
    </row>
    <row r="386" spans="1:21" ht="12.75">
      <c r="A386" s="47"/>
      <c r="B386" s="47"/>
      <c r="C386" s="47"/>
      <c r="D386" s="47"/>
      <c r="E386" s="47"/>
      <c r="F386" s="47"/>
      <c r="G386" s="47"/>
      <c r="H386" s="47"/>
      <c r="I386" s="47"/>
      <c r="J386" s="47"/>
      <c r="K386" s="47"/>
      <c r="L386" s="47"/>
      <c r="M386" s="47"/>
      <c r="N386" s="47"/>
      <c r="O386" s="47"/>
      <c r="P386" s="47"/>
      <c r="Q386" s="47"/>
      <c r="R386" s="47"/>
      <c r="S386" s="47"/>
      <c r="T386" s="47"/>
      <c r="U386" s="47"/>
    </row>
    <row r="387" spans="1:21" ht="12.75">
      <c r="A387" s="47"/>
      <c r="B387" s="47"/>
      <c r="C387" s="47"/>
      <c r="D387" s="47"/>
      <c r="E387" s="47"/>
      <c r="F387" s="47"/>
      <c r="G387" s="47"/>
      <c r="H387" s="47"/>
      <c r="I387" s="47"/>
      <c r="J387" s="47"/>
      <c r="K387" s="47"/>
      <c r="L387" s="47"/>
      <c r="M387" s="47"/>
      <c r="N387" s="47"/>
      <c r="O387" s="47"/>
      <c r="P387" s="47"/>
      <c r="Q387" s="47"/>
      <c r="R387" s="47"/>
      <c r="S387" s="47"/>
      <c r="T387" s="47"/>
      <c r="U387" s="47"/>
    </row>
    <row r="388" spans="1:21" ht="12.75">
      <c r="A388" s="47"/>
      <c r="B388" s="47"/>
      <c r="C388" s="47"/>
      <c r="D388" s="47"/>
      <c r="E388" s="47"/>
      <c r="F388" s="47"/>
      <c r="G388" s="47"/>
      <c r="H388" s="47"/>
      <c r="I388" s="47"/>
      <c r="J388" s="47"/>
      <c r="K388" s="47"/>
      <c r="L388" s="47"/>
      <c r="M388" s="47"/>
      <c r="N388" s="47"/>
      <c r="O388" s="47"/>
      <c r="P388" s="47"/>
      <c r="Q388" s="47"/>
      <c r="R388" s="47"/>
      <c r="S388" s="47"/>
      <c r="T388" s="47"/>
      <c r="U388" s="47"/>
    </row>
    <row r="389" spans="1:21" ht="12.75">
      <c r="A389" s="47"/>
      <c r="B389" s="47"/>
      <c r="C389" s="47"/>
      <c r="D389" s="47"/>
      <c r="E389" s="47"/>
      <c r="F389" s="47"/>
      <c r="G389" s="47"/>
      <c r="H389" s="47"/>
      <c r="I389" s="47"/>
      <c r="J389" s="47"/>
      <c r="K389" s="47"/>
      <c r="L389" s="47"/>
      <c r="M389" s="47"/>
      <c r="N389" s="47"/>
      <c r="O389" s="47"/>
      <c r="P389" s="47"/>
      <c r="Q389" s="47"/>
      <c r="R389" s="47"/>
      <c r="S389" s="47"/>
      <c r="T389" s="47"/>
      <c r="U389" s="47"/>
    </row>
    <row r="390" spans="1:21" ht="12.75">
      <c r="A390" s="47"/>
      <c r="B390" s="47"/>
      <c r="C390" s="47"/>
      <c r="D390" s="47"/>
      <c r="E390" s="47"/>
      <c r="F390" s="47"/>
      <c r="G390" s="47"/>
      <c r="H390" s="47"/>
      <c r="I390" s="47"/>
      <c r="J390" s="47"/>
      <c r="K390" s="47"/>
      <c r="L390" s="47"/>
      <c r="M390" s="47"/>
      <c r="N390" s="47"/>
      <c r="O390" s="47"/>
      <c r="P390" s="47"/>
      <c r="Q390" s="47"/>
      <c r="R390" s="47"/>
      <c r="S390" s="47"/>
      <c r="T390" s="47"/>
      <c r="U390" s="47"/>
    </row>
    <row r="391" spans="1:21" ht="12.75">
      <c r="A391" s="47"/>
      <c r="B391" s="47"/>
      <c r="C391" s="47"/>
      <c r="D391" s="47"/>
      <c r="E391" s="47"/>
      <c r="F391" s="47"/>
      <c r="G391" s="47"/>
      <c r="H391" s="47"/>
      <c r="I391" s="47"/>
      <c r="J391" s="47"/>
      <c r="K391" s="47"/>
      <c r="L391" s="47"/>
      <c r="M391" s="47"/>
      <c r="N391" s="47"/>
      <c r="O391" s="47"/>
      <c r="P391" s="47"/>
      <c r="Q391" s="47"/>
      <c r="R391" s="47"/>
      <c r="S391" s="47"/>
      <c r="T391" s="47"/>
      <c r="U391" s="47"/>
    </row>
    <row r="392" spans="1:21" ht="12.75">
      <c r="A392" s="47"/>
      <c r="B392" s="47"/>
      <c r="C392" s="47"/>
      <c r="D392" s="47"/>
      <c r="E392" s="47"/>
      <c r="F392" s="47"/>
      <c r="G392" s="47"/>
      <c r="H392" s="47"/>
      <c r="I392" s="47"/>
      <c r="J392" s="47"/>
      <c r="K392" s="47"/>
      <c r="L392" s="47"/>
      <c r="M392" s="47"/>
      <c r="N392" s="47"/>
      <c r="O392" s="47"/>
      <c r="P392" s="47"/>
      <c r="Q392" s="47"/>
      <c r="R392" s="47"/>
      <c r="S392" s="47"/>
      <c r="T392" s="47"/>
      <c r="U392" s="47"/>
    </row>
    <row r="393" spans="1:21" ht="12.75">
      <c r="A393" s="47"/>
      <c r="B393" s="47"/>
      <c r="C393" s="47"/>
      <c r="D393" s="47"/>
      <c r="E393" s="47"/>
      <c r="F393" s="47"/>
      <c r="G393" s="47"/>
      <c r="H393" s="47"/>
      <c r="I393" s="47"/>
      <c r="J393" s="47"/>
      <c r="K393" s="47"/>
      <c r="L393" s="47"/>
      <c r="M393" s="47"/>
      <c r="N393" s="47"/>
      <c r="O393" s="47"/>
      <c r="P393" s="47"/>
      <c r="Q393" s="47"/>
      <c r="R393" s="47"/>
      <c r="S393" s="47"/>
      <c r="T393" s="47"/>
      <c r="U393" s="47"/>
    </row>
    <row r="394" spans="1:21" ht="12.75">
      <c r="A394" s="47"/>
      <c r="B394" s="47"/>
      <c r="C394" s="47"/>
      <c r="D394" s="47"/>
      <c r="E394" s="47"/>
      <c r="F394" s="47"/>
      <c r="G394" s="47"/>
      <c r="H394" s="47"/>
      <c r="I394" s="47"/>
      <c r="J394" s="47"/>
      <c r="K394" s="47"/>
      <c r="L394" s="47"/>
      <c r="M394" s="47"/>
      <c r="N394" s="47"/>
      <c r="O394" s="47"/>
      <c r="P394" s="47"/>
      <c r="Q394" s="47"/>
      <c r="R394" s="47"/>
      <c r="S394" s="47"/>
      <c r="T394" s="47"/>
      <c r="U394" s="47"/>
    </row>
    <row r="395" spans="1:21" ht="12.75">
      <c r="A395" s="47"/>
      <c r="B395" s="47"/>
      <c r="C395" s="47"/>
      <c r="D395" s="47"/>
      <c r="E395" s="47"/>
      <c r="F395" s="47"/>
      <c r="G395" s="47"/>
      <c r="H395" s="47"/>
      <c r="I395" s="47"/>
      <c r="J395" s="47"/>
      <c r="K395" s="47"/>
      <c r="L395" s="47"/>
      <c r="M395" s="47"/>
      <c r="N395" s="47"/>
      <c r="O395" s="47"/>
      <c r="P395" s="47"/>
      <c r="Q395" s="47"/>
      <c r="R395" s="47"/>
      <c r="S395" s="47"/>
      <c r="T395" s="47"/>
      <c r="U395" s="47"/>
    </row>
    <row r="396" spans="1:21" ht="12.75">
      <c r="A396" s="47"/>
      <c r="B396" s="47"/>
      <c r="C396" s="47"/>
      <c r="D396" s="47"/>
      <c r="E396" s="47"/>
      <c r="F396" s="47"/>
      <c r="G396" s="47"/>
      <c r="H396" s="47"/>
      <c r="I396" s="47"/>
      <c r="J396" s="47"/>
      <c r="K396" s="47"/>
      <c r="L396" s="47"/>
      <c r="M396" s="47"/>
      <c r="N396" s="47"/>
      <c r="O396" s="47"/>
      <c r="P396" s="47"/>
      <c r="Q396" s="47"/>
      <c r="R396" s="47"/>
      <c r="S396" s="47"/>
      <c r="T396" s="47"/>
      <c r="U396" s="47"/>
    </row>
    <row r="397" spans="1:21" ht="12.75">
      <c r="A397" s="47"/>
      <c r="B397" s="47"/>
      <c r="C397" s="47"/>
      <c r="D397" s="47"/>
      <c r="E397" s="47"/>
      <c r="F397" s="47"/>
      <c r="G397" s="47"/>
      <c r="H397" s="47"/>
      <c r="I397" s="47"/>
      <c r="J397" s="47"/>
      <c r="K397" s="47"/>
      <c r="L397" s="47"/>
      <c r="M397" s="47"/>
      <c r="N397" s="47"/>
      <c r="O397" s="47"/>
      <c r="P397" s="47"/>
      <c r="Q397" s="47"/>
      <c r="R397" s="47"/>
      <c r="S397" s="47"/>
      <c r="T397" s="47"/>
      <c r="U397" s="47"/>
    </row>
    <row r="398" spans="1:21" ht="12.75">
      <c r="A398" s="47"/>
      <c r="B398" s="47"/>
      <c r="C398" s="47"/>
      <c r="D398" s="47"/>
      <c r="E398" s="47"/>
      <c r="F398" s="47"/>
      <c r="G398" s="47"/>
      <c r="H398" s="47"/>
      <c r="I398" s="47"/>
      <c r="J398" s="47"/>
      <c r="K398" s="47"/>
      <c r="L398" s="47"/>
      <c r="M398" s="47"/>
      <c r="N398" s="47"/>
      <c r="O398" s="47"/>
      <c r="P398" s="47"/>
      <c r="Q398" s="47"/>
      <c r="R398" s="47"/>
      <c r="S398" s="47"/>
      <c r="T398" s="47"/>
      <c r="U398" s="47"/>
    </row>
    <row r="399" spans="1:21" ht="12.75">
      <c r="A399" s="47"/>
      <c r="B399" s="47"/>
      <c r="C399" s="47"/>
      <c r="D399" s="47"/>
      <c r="E399" s="47"/>
      <c r="F399" s="47"/>
      <c r="G399" s="47"/>
      <c r="H399" s="47"/>
      <c r="I399" s="47"/>
      <c r="J399" s="47"/>
      <c r="K399" s="47"/>
      <c r="L399" s="47"/>
      <c r="M399" s="47"/>
      <c r="N399" s="47"/>
      <c r="O399" s="47"/>
      <c r="P399" s="47"/>
      <c r="Q399" s="47"/>
      <c r="R399" s="47"/>
      <c r="S399" s="47"/>
      <c r="T399" s="47"/>
      <c r="U399" s="47"/>
    </row>
    <row r="400" spans="1:21" ht="12.75">
      <c r="A400" s="47"/>
      <c r="B400" s="47"/>
      <c r="C400" s="47"/>
      <c r="D400" s="47"/>
      <c r="E400" s="47"/>
      <c r="F400" s="47"/>
      <c r="G400" s="47"/>
      <c r="H400" s="47"/>
      <c r="I400" s="47"/>
      <c r="J400" s="47"/>
      <c r="K400" s="47"/>
      <c r="L400" s="47"/>
      <c r="M400" s="47"/>
      <c r="N400" s="47"/>
      <c r="O400" s="47"/>
      <c r="P400" s="47"/>
      <c r="Q400" s="47"/>
      <c r="R400" s="47"/>
      <c r="S400" s="47"/>
      <c r="T400" s="47"/>
      <c r="U400" s="47"/>
    </row>
    <row r="401" spans="1:21" ht="12.75">
      <c r="A401" s="47"/>
      <c r="B401" s="47"/>
      <c r="C401" s="47"/>
      <c r="D401" s="47"/>
      <c r="E401" s="47"/>
      <c r="F401" s="47"/>
      <c r="G401" s="47"/>
      <c r="H401" s="47"/>
      <c r="I401" s="47"/>
      <c r="J401" s="47"/>
      <c r="K401" s="47"/>
      <c r="L401" s="47"/>
      <c r="M401" s="47"/>
      <c r="N401" s="47"/>
      <c r="O401" s="47"/>
      <c r="P401" s="47"/>
      <c r="Q401" s="47"/>
      <c r="R401" s="47"/>
      <c r="S401" s="47"/>
      <c r="T401" s="47"/>
      <c r="U401" s="47"/>
    </row>
    <row r="402" spans="1:21" ht="12.75">
      <c r="A402" s="47"/>
      <c r="B402" s="47"/>
      <c r="C402" s="47"/>
      <c r="D402" s="47"/>
      <c r="E402" s="47"/>
      <c r="F402" s="47"/>
      <c r="G402" s="47"/>
      <c r="H402" s="47"/>
      <c r="I402" s="47"/>
      <c r="J402" s="47"/>
      <c r="K402" s="47"/>
      <c r="L402" s="47"/>
      <c r="M402" s="47"/>
      <c r="N402" s="47"/>
      <c r="O402" s="47"/>
      <c r="P402" s="47"/>
      <c r="Q402" s="47"/>
      <c r="R402" s="47"/>
      <c r="S402" s="47"/>
      <c r="T402" s="47"/>
      <c r="U402" s="47"/>
    </row>
    <row r="403" spans="1:21" ht="12.75">
      <c r="A403" s="47"/>
      <c r="B403" s="47"/>
      <c r="C403" s="47"/>
      <c r="D403" s="47"/>
      <c r="E403" s="47"/>
      <c r="F403" s="47"/>
      <c r="G403" s="47"/>
      <c r="H403" s="47"/>
      <c r="I403" s="47"/>
      <c r="J403" s="47"/>
      <c r="K403" s="47"/>
      <c r="L403" s="47"/>
      <c r="M403" s="47"/>
      <c r="N403" s="47"/>
      <c r="O403" s="47"/>
      <c r="P403" s="47"/>
      <c r="Q403" s="47"/>
      <c r="R403" s="47"/>
      <c r="S403" s="47"/>
      <c r="T403" s="47"/>
      <c r="U403" s="47"/>
    </row>
    <row r="404" spans="1:21" ht="12.75">
      <c r="A404" s="47"/>
      <c r="B404" s="47"/>
      <c r="C404" s="47"/>
      <c r="D404" s="47"/>
      <c r="E404" s="47"/>
      <c r="F404" s="47"/>
      <c r="G404" s="47"/>
      <c r="H404" s="47"/>
      <c r="I404" s="47"/>
      <c r="J404" s="47"/>
      <c r="K404" s="47"/>
      <c r="L404" s="47"/>
      <c r="M404" s="47"/>
      <c r="N404" s="47"/>
      <c r="O404" s="47"/>
      <c r="P404" s="47"/>
      <c r="Q404" s="47"/>
      <c r="R404" s="47"/>
      <c r="S404" s="47"/>
      <c r="T404" s="47"/>
      <c r="U404" s="47"/>
    </row>
    <row r="405" spans="1:21" ht="12.75">
      <c r="A405" s="47"/>
      <c r="B405" s="47"/>
      <c r="C405" s="47"/>
      <c r="D405" s="47"/>
      <c r="E405" s="47"/>
      <c r="F405" s="47"/>
      <c r="G405" s="47"/>
      <c r="H405" s="47"/>
      <c r="I405" s="47"/>
      <c r="J405" s="47"/>
      <c r="K405" s="47"/>
      <c r="L405" s="47"/>
      <c r="M405" s="47"/>
      <c r="N405" s="47"/>
      <c r="O405" s="47"/>
      <c r="P405" s="47"/>
      <c r="Q405" s="47"/>
      <c r="R405" s="47"/>
      <c r="S405" s="47"/>
      <c r="T405" s="47"/>
      <c r="U405" s="47"/>
    </row>
    <row r="406" spans="1:21" ht="12.75">
      <c r="A406" s="47"/>
      <c r="B406" s="47"/>
      <c r="C406" s="47"/>
      <c r="D406" s="47"/>
      <c r="E406" s="47"/>
      <c r="F406" s="47"/>
      <c r="G406" s="47"/>
      <c r="H406" s="47"/>
      <c r="I406" s="47"/>
      <c r="J406" s="47"/>
      <c r="K406" s="47"/>
      <c r="L406" s="47"/>
      <c r="M406" s="47"/>
      <c r="N406" s="47"/>
      <c r="O406" s="47"/>
      <c r="P406" s="47"/>
      <c r="Q406" s="47"/>
      <c r="R406" s="47"/>
      <c r="S406" s="47"/>
      <c r="T406" s="47"/>
      <c r="U406" s="47"/>
    </row>
    <row r="407" spans="1:21" ht="12.75">
      <c r="A407" s="47"/>
      <c r="B407" s="47"/>
      <c r="C407" s="47"/>
      <c r="D407" s="47"/>
      <c r="E407" s="47"/>
      <c r="F407" s="47"/>
      <c r="G407" s="47"/>
      <c r="H407" s="47"/>
      <c r="I407" s="47"/>
      <c r="J407" s="47"/>
      <c r="K407" s="47"/>
      <c r="L407" s="47"/>
      <c r="M407" s="47"/>
      <c r="N407" s="47"/>
      <c r="O407" s="47"/>
      <c r="P407" s="47"/>
      <c r="Q407" s="47"/>
      <c r="R407" s="47"/>
      <c r="S407" s="47"/>
      <c r="T407" s="47"/>
      <c r="U407" s="47"/>
    </row>
    <row r="408" spans="1:21" ht="12.75">
      <c r="A408" s="47"/>
      <c r="B408" s="47"/>
      <c r="C408" s="47"/>
      <c r="D408" s="47"/>
      <c r="E408" s="47"/>
      <c r="F408" s="47"/>
      <c r="G408" s="47"/>
      <c r="H408" s="47"/>
      <c r="I408" s="47"/>
      <c r="J408" s="47"/>
      <c r="K408" s="47"/>
      <c r="L408" s="47"/>
      <c r="M408" s="47"/>
      <c r="N408" s="47"/>
      <c r="O408" s="47"/>
      <c r="P408" s="47"/>
      <c r="Q408" s="47"/>
      <c r="R408" s="47"/>
      <c r="S408" s="47"/>
      <c r="T408" s="47"/>
      <c r="U408" s="47"/>
    </row>
    <row r="409" spans="1:21" ht="12.75">
      <c r="A409" s="47"/>
      <c r="B409" s="47"/>
      <c r="C409" s="47"/>
      <c r="D409" s="47"/>
      <c r="E409" s="47"/>
      <c r="F409" s="47"/>
      <c r="G409" s="47"/>
      <c r="H409" s="47"/>
      <c r="I409" s="47"/>
      <c r="J409" s="47"/>
      <c r="K409" s="47"/>
      <c r="L409" s="47"/>
      <c r="M409" s="47"/>
      <c r="N409" s="47"/>
      <c r="O409" s="47"/>
      <c r="P409" s="47"/>
      <c r="Q409" s="47"/>
      <c r="R409" s="47"/>
      <c r="S409" s="47"/>
      <c r="T409" s="47"/>
      <c r="U409" s="47"/>
    </row>
    <row r="410" spans="1:21" ht="12.75">
      <c r="A410" s="47"/>
      <c r="B410" s="47"/>
      <c r="C410" s="47"/>
      <c r="D410" s="47"/>
      <c r="E410" s="47"/>
      <c r="F410" s="47"/>
      <c r="G410" s="47"/>
      <c r="H410" s="47"/>
      <c r="I410" s="47"/>
      <c r="J410" s="47"/>
      <c r="K410" s="47"/>
      <c r="L410" s="47"/>
      <c r="M410" s="47"/>
      <c r="N410" s="47"/>
      <c r="O410" s="47"/>
      <c r="P410" s="47"/>
      <c r="Q410" s="47"/>
      <c r="R410" s="47"/>
      <c r="S410" s="47"/>
      <c r="T410" s="47"/>
      <c r="U410" s="47"/>
    </row>
    <row r="411" spans="1:21" ht="12.75">
      <c r="A411" s="47"/>
      <c r="B411" s="47"/>
      <c r="C411" s="47"/>
      <c r="D411" s="47"/>
      <c r="E411" s="47"/>
      <c r="F411" s="47"/>
      <c r="G411" s="47"/>
      <c r="H411" s="47"/>
      <c r="I411" s="47"/>
      <c r="J411" s="47"/>
      <c r="K411" s="47"/>
      <c r="L411" s="47"/>
      <c r="M411" s="47"/>
      <c r="N411" s="47"/>
      <c r="O411" s="47"/>
      <c r="P411" s="47"/>
      <c r="Q411" s="47"/>
      <c r="R411" s="47"/>
      <c r="S411" s="47"/>
      <c r="T411" s="47"/>
      <c r="U411" s="47"/>
    </row>
    <row r="412" spans="1:21" ht="12.75">
      <c r="A412" s="47"/>
      <c r="B412" s="47"/>
      <c r="C412" s="47"/>
      <c r="D412" s="47"/>
      <c r="E412" s="47"/>
      <c r="F412" s="47"/>
      <c r="G412" s="47"/>
      <c r="H412" s="47"/>
      <c r="I412" s="47"/>
      <c r="J412" s="47"/>
      <c r="K412" s="47"/>
      <c r="L412" s="47"/>
      <c r="M412" s="47"/>
      <c r="N412" s="47"/>
      <c r="O412" s="47"/>
      <c r="P412" s="47"/>
      <c r="Q412" s="47"/>
      <c r="R412" s="47"/>
      <c r="S412" s="47"/>
      <c r="T412" s="47"/>
      <c r="U412" s="47"/>
    </row>
    <row r="413" spans="1:21" ht="12.75">
      <c r="A413" s="47"/>
      <c r="B413" s="47"/>
      <c r="C413" s="47"/>
      <c r="D413" s="47"/>
      <c r="E413" s="47"/>
      <c r="F413" s="47"/>
      <c r="G413" s="47"/>
      <c r="H413" s="47"/>
      <c r="I413" s="47"/>
      <c r="J413" s="47"/>
      <c r="K413" s="47"/>
      <c r="L413" s="47"/>
      <c r="M413" s="47"/>
      <c r="N413" s="47"/>
      <c r="O413" s="47"/>
      <c r="P413" s="47"/>
      <c r="Q413" s="47"/>
      <c r="R413" s="47"/>
      <c r="S413" s="47"/>
      <c r="T413" s="47"/>
      <c r="U413" s="47"/>
    </row>
    <row r="414" spans="1:21" ht="12.75">
      <c r="A414" s="47"/>
      <c r="B414" s="47"/>
      <c r="C414" s="47"/>
      <c r="D414" s="47"/>
      <c r="E414" s="47"/>
      <c r="F414" s="47"/>
      <c r="G414" s="47"/>
      <c r="H414" s="47"/>
      <c r="I414" s="47"/>
      <c r="J414" s="47"/>
      <c r="K414" s="47"/>
      <c r="L414" s="47"/>
      <c r="M414" s="47"/>
      <c r="N414" s="47"/>
      <c r="O414" s="47"/>
      <c r="P414" s="47"/>
      <c r="Q414" s="47"/>
      <c r="R414" s="47"/>
      <c r="S414" s="47"/>
      <c r="T414" s="47"/>
      <c r="U414" s="47"/>
    </row>
    <row r="415" spans="1:21" ht="12.75">
      <c r="A415" s="47"/>
      <c r="B415" s="47"/>
      <c r="C415" s="47"/>
      <c r="D415" s="47"/>
      <c r="E415" s="47"/>
      <c r="F415" s="47"/>
      <c r="G415" s="47"/>
      <c r="H415" s="47"/>
      <c r="I415" s="47"/>
      <c r="J415" s="47"/>
      <c r="K415" s="47"/>
      <c r="L415" s="47"/>
      <c r="M415" s="47"/>
      <c r="N415" s="47"/>
      <c r="O415" s="47"/>
      <c r="P415" s="47"/>
      <c r="Q415" s="47"/>
      <c r="R415" s="47"/>
      <c r="S415" s="47"/>
      <c r="T415" s="47"/>
      <c r="U415" s="47"/>
    </row>
    <row r="416" spans="1:21" ht="12.75">
      <c r="A416" s="47"/>
      <c r="B416" s="47"/>
      <c r="C416" s="47"/>
      <c r="D416" s="47"/>
      <c r="E416" s="47"/>
      <c r="F416" s="47"/>
      <c r="G416" s="47"/>
      <c r="H416" s="47"/>
      <c r="I416" s="47"/>
      <c r="J416" s="47"/>
      <c r="K416" s="47"/>
      <c r="L416" s="47"/>
      <c r="M416" s="47"/>
      <c r="N416" s="47"/>
      <c r="O416" s="47"/>
      <c r="P416" s="47"/>
      <c r="Q416" s="47"/>
      <c r="R416" s="47"/>
      <c r="S416" s="47"/>
      <c r="T416" s="47"/>
      <c r="U416" s="47"/>
    </row>
    <row r="417" spans="1:21" ht="12.75">
      <c r="A417" s="47"/>
      <c r="B417" s="47"/>
      <c r="C417" s="47"/>
      <c r="D417" s="47"/>
      <c r="E417" s="47"/>
      <c r="F417" s="47"/>
      <c r="G417" s="47"/>
      <c r="H417" s="47"/>
      <c r="I417" s="47"/>
      <c r="J417" s="47"/>
      <c r="K417" s="47"/>
      <c r="L417" s="47"/>
      <c r="M417" s="47"/>
      <c r="N417" s="47"/>
      <c r="O417" s="47"/>
      <c r="P417" s="47"/>
      <c r="Q417" s="47"/>
      <c r="R417" s="47"/>
      <c r="S417" s="47"/>
      <c r="T417" s="47"/>
      <c r="U417" s="47"/>
    </row>
    <row r="418" spans="1:21" ht="12.75">
      <c r="A418" s="47"/>
      <c r="B418" s="47"/>
      <c r="C418" s="47"/>
      <c r="D418" s="47"/>
      <c r="E418" s="47"/>
      <c r="F418" s="47"/>
      <c r="G418" s="47"/>
      <c r="H418" s="47"/>
      <c r="I418" s="47"/>
      <c r="J418" s="47"/>
      <c r="K418" s="47"/>
      <c r="L418" s="47"/>
      <c r="M418" s="47"/>
      <c r="N418" s="47"/>
      <c r="O418" s="47"/>
      <c r="P418" s="47"/>
      <c r="Q418" s="47"/>
      <c r="R418" s="47"/>
      <c r="S418" s="47"/>
      <c r="T418" s="47"/>
      <c r="U418" s="47"/>
    </row>
    <row r="419" spans="1:21" ht="12.75">
      <c r="A419" s="47"/>
      <c r="B419" s="47"/>
      <c r="C419" s="47"/>
      <c r="D419" s="47"/>
      <c r="E419" s="47"/>
      <c r="F419" s="47"/>
      <c r="G419" s="47"/>
      <c r="H419" s="47"/>
      <c r="I419" s="47"/>
      <c r="J419" s="47"/>
      <c r="K419" s="47"/>
      <c r="L419" s="47"/>
      <c r="M419" s="47"/>
      <c r="N419" s="47"/>
      <c r="O419" s="47"/>
      <c r="P419" s="47"/>
      <c r="Q419" s="47"/>
      <c r="R419" s="47"/>
      <c r="S419" s="47"/>
      <c r="T419" s="47"/>
      <c r="U419" s="47"/>
    </row>
    <row r="420" spans="1:21" ht="12.75">
      <c r="A420" s="47"/>
      <c r="B420" s="47"/>
      <c r="C420" s="47"/>
      <c r="D420" s="47"/>
      <c r="E420" s="47"/>
      <c r="F420" s="47"/>
      <c r="G420" s="47"/>
      <c r="H420" s="47"/>
      <c r="I420" s="47"/>
      <c r="J420" s="47"/>
      <c r="K420" s="47"/>
      <c r="L420" s="47"/>
      <c r="M420" s="47"/>
      <c r="N420" s="47"/>
      <c r="O420" s="47"/>
      <c r="P420" s="47"/>
      <c r="Q420" s="47"/>
      <c r="R420" s="47"/>
      <c r="S420" s="47"/>
      <c r="T420" s="47"/>
      <c r="U420" s="47"/>
    </row>
    <row r="421" spans="1:21" ht="12.75">
      <c r="A421" s="47"/>
      <c r="B421" s="47"/>
      <c r="C421" s="47"/>
      <c r="D421" s="47"/>
      <c r="E421" s="47"/>
      <c r="F421" s="47"/>
      <c r="G421" s="47"/>
      <c r="H421" s="47"/>
      <c r="I421" s="47"/>
      <c r="J421" s="47"/>
      <c r="K421" s="47"/>
      <c r="L421" s="47"/>
      <c r="M421" s="47"/>
      <c r="N421" s="47"/>
      <c r="O421" s="47"/>
      <c r="P421" s="47"/>
      <c r="Q421" s="47"/>
      <c r="R421" s="47"/>
      <c r="S421" s="47"/>
      <c r="T421" s="47"/>
      <c r="U421" s="47"/>
    </row>
    <row r="422" spans="1:21" ht="12.75">
      <c r="A422" s="47"/>
      <c r="B422" s="47"/>
      <c r="C422" s="47"/>
      <c r="D422" s="47"/>
      <c r="E422" s="47"/>
      <c r="F422" s="47"/>
      <c r="G422" s="47"/>
      <c r="H422" s="47"/>
      <c r="I422" s="47"/>
      <c r="J422" s="47"/>
      <c r="K422" s="47"/>
      <c r="L422" s="47"/>
      <c r="M422" s="47"/>
      <c r="N422" s="47"/>
      <c r="O422" s="47"/>
      <c r="P422" s="47"/>
      <c r="Q422" s="47"/>
      <c r="R422" s="47"/>
      <c r="S422" s="47"/>
      <c r="T422" s="47"/>
      <c r="U422" s="47"/>
    </row>
    <row r="423" spans="1:21" ht="12.75">
      <c r="A423" s="47"/>
      <c r="B423" s="47"/>
      <c r="C423" s="47"/>
      <c r="D423" s="47"/>
      <c r="E423" s="47"/>
      <c r="F423" s="47"/>
      <c r="G423" s="47"/>
      <c r="H423" s="47"/>
      <c r="I423" s="47"/>
      <c r="J423" s="47"/>
      <c r="K423" s="47"/>
      <c r="L423" s="47"/>
      <c r="M423" s="47"/>
      <c r="N423" s="47"/>
      <c r="O423" s="47"/>
      <c r="P423" s="47"/>
      <c r="Q423" s="47"/>
      <c r="R423" s="47"/>
      <c r="S423" s="47"/>
      <c r="T423" s="47"/>
      <c r="U423" s="47"/>
    </row>
    <row r="424" spans="1:21" ht="12.75">
      <c r="A424" s="47"/>
      <c r="B424" s="47"/>
      <c r="C424" s="47"/>
      <c r="D424" s="47"/>
      <c r="E424" s="47"/>
      <c r="F424" s="47"/>
      <c r="G424" s="47"/>
      <c r="H424" s="47"/>
      <c r="I424" s="47"/>
      <c r="J424" s="47"/>
      <c r="K424" s="47"/>
      <c r="L424" s="47"/>
      <c r="M424" s="47"/>
      <c r="N424" s="47"/>
      <c r="O424" s="47"/>
      <c r="P424" s="47"/>
      <c r="Q424" s="47"/>
      <c r="R424" s="47"/>
      <c r="S424" s="47"/>
      <c r="T424" s="47"/>
      <c r="U424" s="47"/>
    </row>
    <row r="425" spans="1:21" ht="12.75">
      <c r="A425" s="47"/>
      <c r="B425" s="47"/>
      <c r="C425" s="47"/>
      <c r="D425" s="47"/>
      <c r="E425" s="47"/>
      <c r="F425" s="47"/>
      <c r="G425" s="47"/>
      <c r="H425" s="47"/>
      <c r="I425" s="47"/>
      <c r="J425" s="47"/>
      <c r="K425" s="47"/>
      <c r="L425" s="47"/>
      <c r="M425" s="47"/>
      <c r="N425" s="47"/>
      <c r="O425" s="47"/>
      <c r="P425" s="47"/>
      <c r="Q425" s="47"/>
      <c r="R425" s="47"/>
      <c r="S425" s="47"/>
      <c r="T425" s="47"/>
      <c r="U425" s="47"/>
    </row>
    <row r="426" spans="1:21" ht="12.75">
      <c r="A426" s="47"/>
      <c r="B426" s="47"/>
      <c r="C426" s="47"/>
      <c r="D426" s="47"/>
      <c r="E426" s="47"/>
      <c r="F426" s="47"/>
      <c r="G426" s="47"/>
      <c r="H426" s="47"/>
      <c r="I426" s="47"/>
      <c r="J426" s="47"/>
      <c r="K426" s="47"/>
      <c r="L426" s="47"/>
      <c r="M426" s="47"/>
      <c r="N426" s="47"/>
      <c r="O426" s="47"/>
      <c r="P426" s="47"/>
      <c r="Q426" s="47"/>
      <c r="R426" s="47"/>
      <c r="S426" s="47"/>
      <c r="T426" s="47"/>
      <c r="U426" s="47"/>
    </row>
    <row r="427" spans="1:21" ht="12.75">
      <c r="A427" s="47"/>
      <c r="B427" s="47"/>
      <c r="C427" s="47"/>
      <c r="D427" s="47"/>
      <c r="E427" s="47"/>
      <c r="F427" s="47"/>
      <c r="G427" s="47"/>
      <c r="H427" s="47"/>
      <c r="I427" s="47"/>
      <c r="J427" s="47"/>
      <c r="K427" s="47"/>
      <c r="L427" s="47"/>
      <c r="M427" s="47"/>
      <c r="N427" s="47"/>
      <c r="O427" s="47"/>
      <c r="P427" s="47"/>
      <c r="Q427" s="47"/>
      <c r="R427" s="47"/>
      <c r="S427" s="47"/>
      <c r="T427" s="47"/>
      <c r="U427" s="47"/>
    </row>
    <row r="428" spans="1:21" ht="12.75">
      <c r="A428" s="47"/>
      <c r="B428" s="47"/>
      <c r="C428" s="47"/>
      <c r="D428" s="47"/>
      <c r="E428" s="47"/>
      <c r="F428" s="47"/>
      <c r="G428" s="47"/>
      <c r="H428" s="47"/>
      <c r="I428" s="47"/>
      <c r="J428" s="47"/>
      <c r="K428" s="47"/>
      <c r="L428" s="47"/>
      <c r="M428" s="47"/>
      <c r="N428" s="47"/>
      <c r="O428" s="47"/>
      <c r="P428" s="47"/>
      <c r="Q428" s="47"/>
      <c r="R428" s="47"/>
      <c r="S428" s="47"/>
      <c r="T428" s="47"/>
      <c r="U428" s="47"/>
    </row>
    <row r="429" spans="1:21" ht="12.75">
      <c r="A429" s="47"/>
      <c r="B429" s="47"/>
      <c r="C429" s="47"/>
      <c r="D429" s="47"/>
      <c r="E429" s="47"/>
      <c r="F429" s="47"/>
      <c r="G429" s="47"/>
      <c r="H429" s="47"/>
      <c r="I429" s="47"/>
      <c r="J429" s="47"/>
      <c r="K429" s="47"/>
      <c r="L429" s="47"/>
      <c r="M429" s="47"/>
      <c r="N429" s="47"/>
      <c r="O429" s="47"/>
      <c r="P429" s="47"/>
      <c r="Q429" s="47"/>
      <c r="R429" s="47"/>
      <c r="S429" s="47"/>
      <c r="T429" s="47"/>
      <c r="U429" s="47"/>
    </row>
    <row r="430" spans="1:21" ht="12.75">
      <c r="A430" s="47"/>
      <c r="B430" s="47"/>
      <c r="C430" s="47"/>
      <c r="D430" s="47"/>
      <c r="E430" s="47"/>
      <c r="F430" s="47"/>
      <c r="G430" s="47"/>
      <c r="H430" s="47"/>
      <c r="I430" s="47"/>
      <c r="J430" s="47"/>
      <c r="K430" s="47"/>
      <c r="L430" s="47"/>
      <c r="M430" s="47"/>
      <c r="N430" s="47"/>
      <c r="O430" s="47"/>
      <c r="P430" s="47"/>
      <c r="Q430" s="47"/>
      <c r="R430" s="47"/>
      <c r="S430" s="47"/>
      <c r="T430" s="47"/>
      <c r="U430" s="47"/>
    </row>
    <row r="431" spans="1:21" ht="12.75">
      <c r="A431" s="47"/>
      <c r="B431" s="47"/>
      <c r="C431" s="47"/>
      <c r="D431" s="47"/>
      <c r="E431" s="47"/>
      <c r="F431" s="47"/>
      <c r="G431" s="47"/>
      <c r="H431" s="47"/>
      <c r="I431" s="47"/>
      <c r="J431" s="47"/>
      <c r="K431" s="47"/>
      <c r="L431" s="47"/>
      <c r="M431" s="47"/>
      <c r="N431" s="47"/>
      <c r="O431" s="47"/>
      <c r="P431" s="47"/>
      <c r="Q431" s="47"/>
      <c r="R431" s="47"/>
      <c r="S431" s="47"/>
      <c r="T431" s="47"/>
      <c r="U431" s="47"/>
    </row>
    <row r="432" spans="1:21" ht="12.75">
      <c r="A432" s="47"/>
      <c r="B432" s="47"/>
      <c r="C432" s="47"/>
      <c r="D432" s="47"/>
      <c r="E432" s="47"/>
      <c r="F432" s="47"/>
      <c r="G432" s="47"/>
      <c r="H432" s="47"/>
      <c r="I432" s="47"/>
      <c r="J432" s="47"/>
      <c r="K432" s="47"/>
      <c r="L432" s="47"/>
      <c r="M432" s="47"/>
      <c r="N432" s="47"/>
      <c r="O432" s="47"/>
      <c r="P432" s="47"/>
      <c r="Q432" s="47"/>
      <c r="R432" s="47"/>
      <c r="S432" s="47"/>
      <c r="T432" s="47"/>
      <c r="U432" s="47"/>
    </row>
    <row r="433" spans="1:21" ht="12.75">
      <c r="A433" s="47"/>
      <c r="B433" s="47"/>
      <c r="C433" s="47"/>
      <c r="D433" s="47"/>
      <c r="E433" s="47"/>
      <c r="F433" s="47"/>
      <c r="G433" s="47"/>
      <c r="H433" s="47"/>
      <c r="I433" s="47"/>
      <c r="J433" s="47"/>
      <c r="K433" s="47"/>
      <c r="L433" s="47"/>
      <c r="M433" s="47"/>
      <c r="N433" s="47"/>
      <c r="O433" s="47"/>
      <c r="P433" s="47"/>
      <c r="Q433" s="47"/>
      <c r="R433" s="47"/>
      <c r="S433" s="47"/>
      <c r="T433" s="47"/>
      <c r="U433" s="47"/>
    </row>
    <row r="434" spans="1:21" ht="12.75">
      <c r="A434" s="47"/>
      <c r="B434" s="47"/>
      <c r="C434" s="47"/>
      <c r="D434" s="47"/>
      <c r="E434" s="47"/>
      <c r="F434" s="47"/>
      <c r="G434" s="47"/>
      <c r="H434" s="47"/>
      <c r="I434" s="47"/>
      <c r="J434" s="47"/>
      <c r="K434" s="47"/>
      <c r="L434" s="47"/>
      <c r="M434" s="47"/>
      <c r="N434" s="47"/>
      <c r="O434" s="47"/>
      <c r="P434" s="47"/>
      <c r="Q434" s="47"/>
      <c r="R434" s="47"/>
      <c r="S434" s="47"/>
      <c r="T434" s="47"/>
      <c r="U434" s="47"/>
    </row>
    <row r="435" spans="1:21" ht="12.75">
      <c r="A435" s="47"/>
      <c r="B435" s="47"/>
      <c r="C435" s="47"/>
      <c r="D435" s="47"/>
      <c r="E435" s="47"/>
      <c r="F435" s="47"/>
      <c r="G435" s="47"/>
      <c r="H435" s="47"/>
      <c r="I435" s="47"/>
      <c r="J435" s="47"/>
      <c r="K435" s="47"/>
      <c r="L435" s="47"/>
      <c r="M435" s="47"/>
      <c r="N435" s="47"/>
      <c r="O435" s="47"/>
      <c r="P435" s="47"/>
      <c r="Q435" s="47"/>
      <c r="R435" s="47"/>
      <c r="S435" s="47"/>
      <c r="T435" s="47"/>
      <c r="U435" s="47"/>
    </row>
    <row r="436" spans="1:21" ht="12.75">
      <c r="A436" s="47"/>
      <c r="B436" s="47"/>
      <c r="C436" s="47"/>
      <c r="D436" s="47"/>
      <c r="E436" s="47"/>
      <c r="F436" s="47"/>
      <c r="G436" s="47"/>
      <c r="H436" s="47"/>
      <c r="I436" s="47"/>
      <c r="J436" s="47"/>
      <c r="K436" s="47"/>
      <c r="L436" s="47"/>
      <c r="M436" s="47"/>
      <c r="N436" s="47"/>
      <c r="O436" s="47"/>
      <c r="P436" s="47"/>
      <c r="Q436" s="47"/>
      <c r="R436" s="47"/>
      <c r="S436" s="47"/>
      <c r="T436" s="47"/>
      <c r="U436" s="47"/>
    </row>
    <row r="437" spans="1:21" ht="12.75">
      <c r="A437" s="47"/>
      <c r="B437" s="47"/>
      <c r="C437" s="47"/>
      <c r="D437" s="47"/>
      <c r="E437" s="47"/>
      <c r="F437" s="47"/>
      <c r="G437" s="47"/>
      <c r="H437" s="47"/>
      <c r="I437" s="47"/>
      <c r="J437" s="47"/>
      <c r="K437" s="47"/>
      <c r="L437" s="47"/>
      <c r="M437" s="47"/>
      <c r="N437" s="47"/>
      <c r="O437" s="47"/>
      <c r="P437" s="47"/>
      <c r="Q437" s="47"/>
      <c r="R437" s="47"/>
      <c r="S437" s="47"/>
      <c r="T437" s="47"/>
      <c r="U437" s="47"/>
    </row>
    <row r="438" spans="1:21" ht="12.75">
      <c r="A438" s="47"/>
      <c r="B438" s="47"/>
      <c r="C438" s="47"/>
      <c r="D438" s="47"/>
      <c r="E438" s="47"/>
      <c r="F438" s="47"/>
      <c r="G438" s="47"/>
      <c r="H438" s="47"/>
      <c r="I438" s="47"/>
      <c r="J438" s="47"/>
      <c r="K438" s="47"/>
      <c r="L438" s="47"/>
      <c r="M438" s="47"/>
      <c r="N438" s="47"/>
      <c r="O438" s="47"/>
      <c r="P438" s="47"/>
      <c r="Q438" s="47"/>
      <c r="R438" s="47"/>
      <c r="S438" s="47"/>
      <c r="T438" s="47"/>
      <c r="U438" s="47"/>
    </row>
    <row r="439" spans="1:21" ht="12.75">
      <c r="A439" s="47"/>
      <c r="B439" s="47"/>
      <c r="C439" s="47"/>
      <c r="D439" s="47"/>
      <c r="E439" s="47"/>
      <c r="F439" s="47"/>
      <c r="G439" s="47"/>
      <c r="H439" s="47"/>
      <c r="I439" s="47"/>
      <c r="J439" s="47"/>
      <c r="K439" s="47"/>
      <c r="L439" s="47"/>
      <c r="M439" s="47"/>
      <c r="N439" s="47"/>
      <c r="O439" s="47"/>
      <c r="P439" s="47"/>
      <c r="Q439" s="47"/>
      <c r="R439" s="47"/>
      <c r="S439" s="47"/>
      <c r="T439" s="47"/>
      <c r="U439" s="47"/>
    </row>
    <row r="440" spans="1:21" ht="12.75">
      <c r="A440" s="47"/>
      <c r="B440" s="47"/>
      <c r="C440" s="47"/>
      <c r="D440" s="47"/>
      <c r="E440" s="47"/>
      <c r="F440" s="47"/>
      <c r="G440" s="47"/>
      <c r="H440" s="47"/>
      <c r="I440" s="47"/>
      <c r="J440" s="47"/>
      <c r="K440" s="47"/>
      <c r="L440" s="47"/>
      <c r="M440" s="47"/>
      <c r="N440" s="47"/>
      <c r="O440" s="47"/>
      <c r="P440" s="47"/>
      <c r="Q440" s="47"/>
      <c r="R440" s="47"/>
      <c r="S440" s="47"/>
      <c r="T440" s="47"/>
      <c r="U440" s="47"/>
    </row>
    <row r="441" spans="1:21" ht="12.75">
      <c r="A441" s="47"/>
      <c r="B441" s="47"/>
      <c r="C441" s="47"/>
      <c r="D441" s="47"/>
      <c r="E441" s="47"/>
      <c r="F441" s="47"/>
      <c r="G441" s="47"/>
      <c r="H441" s="47"/>
      <c r="I441" s="47"/>
      <c r="J441" s="47"/>
      <c r="K441" s="47"/>
      <c r="L441" s="47"/>
      <c r="M441" s="47"/>
      <c r="N441" s="47"/>
      <c r="O441" s="47"/>
      <c r="P441" s="47"/>
      <c r="Q441" s="47"/>
      <c r="R441" s="47"/>
      <c r="S441" s="47"/>
      <c r="T441" s="47"/>
      <c r="U441" s="47"/>
    </row>
    <row r="442" spans="1:21" ht="12.75">
      <c r="A442" s="47"/>
      <c r="B442" s="47"/>
      <c r="C442" s="47"/>
      <c r="D442" s="47"/>
      <c r="E442" s="47"/>
      <c r="F442" s="47"/>
      <c r="G442" s="47"/>
      <c r="H442" s="47"/>
      <c r="I442" s="47"/>
      <c r="J442" s="47"/>
      <c r="K442" s="47"/>
      <c r="L442" s="47"/>
      <c r="M442" s="47"/>
      <c r="N442" s="47"/>
      <c r="O442" s="47"/>
      <c r="P442" s="47"/>
      <c r="Q442" s="47"/>
      <c r="R442" s="47"/>
      <c r="S442" s="47"/>
      <c r="T442" s="47"/>
      <c r="U442" s="47"/>
    </row>
    <row r="443" spans="1:21" ht="12.75">
      <c r="A443" s="47"/>
      <c r="B443" s="47"/>
      <c r="C443" s="47"/>
      <c r="D443" s="47"/>
      <c r="E443" s="47"/>
      <c r="F443" s="47"/>
      <c r="G443" s="47"/>
      <c r="H443" s="47"/>
      <c r="I443" s="47"/>
      <c r="J443" s="47"/>
      <c r="K443" s="47"/>
      <c r="L443" s="47"/>
      <c r="M443" s="47"/>
      <c r="N443" s="47"/>
      <c r="O443" s="47"/>
      <c r="P443" s="47"/>
      <c r="Q443" s="47"/>
      <c r="R443" s="47"/>
      <c r="S443" s="47"/>
      <c r="T443" s="47"/>
      <c r="U443" s="47"/>
    </row>
    <row r="444" spans="1:21" ht="12.75">
      <c r="A444" s="47"/>
      <c r="B444" s="47"/>
      <c r="C444" s="47"/>
      <c r="D444" s="47"/>
      <c r="E444" s="47"/>
      <c r="F444" s="47"/>
      <c r="G444" s="47"/>
      <c r="H444" s="47"/>
      <c r="I444" s="47"/>
      <c r="J444" s="47"/>
      <c r="K444" s="47"/>
      <c r="L444" s="47"/>
      <c r="M444" s="47"/>
      <c r="N444" s="47"/>
      <c r="O444" s="47"/>
      <c r="P444" s="47"/>
      <c r="Q444" s="47"/>
      <c r="R444" s="47"/>
      <c r="S444" s="47"/>
      <c r="T444" s="47"/>
      <c r="U444" s="47"/>
    </row>
    <row r="445" spans="1:21" ht="12.75">
      <c r="A445" s="47"/>
      <c r="B445" s="47"/>
      <c r="C445" s="47"/>
      <c r="D445" s="47"/>
      <c r="E445" s="47"/>
      <c r="F445" s="47"/>
      <c r="G445" s="47"/>
      <c r="H445" s="47"/>
      <c r="I445" s="47"/>
      <c r="J445" s="47"/>
      <c r="K445" s="47"/>
      <c r="L445" s="47"/>
      <c r="M445" s="47"/>
      <c r="N445" s="47"/>
      <c r="O445" s="47"/>
      <c r="P445" s="47"/>
      <c r="Q445" s="47"/>
      <c r="R445" s="47"/>
      <c r="S445" s="47"/>
      <c r="T445" s="47"/>
      <c r="U445" s="47"/>
    </row>
    <row r="446" spans="1:21" ht="12.75">
      <c r="A446" s="47"/>
      <c r="B446" s="47"/>
      <c r="C446" s="47"/>
      <c r="D446" s="47"/>
      <c r="E446" s="47"/>
      <c r="F446" s="47"/>
      <c r="G446" s="47"/>
      <c r="H446" s="47"/>
      <c r="I446" s="47"/>
      <c r="J446" s="47"/>
      <c r="K446" s="47"/>
      <c r="L446" s="47"/>
      <c r="M446" s="47"/>
      <c r="N446" s="47"/>
      <c r="O446" s="47"/>
      <c r="P446" s="47"/>
      <c r="Q446" s="47"/>
      <c r="R446" s="47"/>
      <c r="S446" s="47"/>
      <c r="T446" s="47"/>
      <c r="U446" s="47"/>
    </row>
    <row r="447" spans="1:21" ht="12.75">
      <c r="A447" s="47"/>
      <c r="B447" s="47"/>
      <c r="C447" s="47"/>
      <c r="D447" s="47"/>
      <c r="E447" s="47"/>
      <c r="F447" s="47"/>
      <c r="G447" s="47"/>
      <c r="H447" s="47"/>
      <c r="I447" s="47"/>
      <c r="J447" s="47"/>
      <c r="K447" s="47"/>
      <c r="L447" s="47"/>
      <c r="M447" s="47"/>
      <c r="N447" s="47"/>
      <c r="O447" s="47"/>
      <c r="P447" s="47"/>
      <c r="Q447" s="47"/>
      <c r="R447" s="47"/>
      <c r="S447" s="47"/>
      <c r="T447" s="47"/>
      <c r="U447" s="47"/>
    </row>
    <row r="448" spans="1:21" ht="12.75">
      <c r="A448" s="47"/>
      <c r="B448" s="47"/>
      <c r="C448" s="47"/>
      <c r="D448" s="47"/>
      <c r="E448" s="47"/>
      <c r="F448" s="47"/>
      <c r="G448" s="47"/>
      <c r="H448" s="47"/>
      <c r="I448" s="47"/>
      <c r="J448" s="47"/>
      <c r="K448" s="47"/>
      <c r="L448" s="47"/>
      <c r="M448" s="47"/>
      <c r="N448" s="47"/>
      <c r="O448" s="47"/>
      <c r="P448" s="47"/>
      <c r="Q448" s="47"/>
      <c r="R448" s="47"/>
      <c r="S448" s="47"/>
      <c r="T448" s="47"/>
      <c r="U448" s="47"/>
    </row>
    <row r="449" spans="1:21" ht="12.75">
      <c r="A449" s="47"/>
      <c r="B449" s="47"/>
      <c r="C449" s="47"/>
      <c r="D449" s="47"/>
      <c r="E449" s="47"/>
      <c r="F449" s="47"/>
      <c r="G449" s="47"/>
      <c r="H449" s="47"/>
      <c r="I449" s="47"/>
      <c r="J449" s="47"/>
      <c r="K449" s="47"/>
      <c r="L449" s="47"/>
      <c r="M449" s="47"/>
      <c r="N449" s="47"/>
      <c r="O449" s="47"/>
      <c r="P449" s="47"/>
      <c r="Q449" s="47"/>
      <c r="R449" s="47"/>
      <c r="S449" s="47"/>
      <c r="T449" s="47"/>
      <c r="U449" s="47"/>
    </row>
    <row r="450" spans="1:21" ht="12.75">
      <c r="A450" s="47"/>
      <c r="B450" s="47"/>
      <c r="C450" s="47"/>
      <c r="D450" s="47"/>
      <c r="E450" s="47"/>
      <c r="F450" s="47"/>
      <c r="G450" s="47"/>
      <c r="H450" s="47"/>
      <c r="I450" s="47"/>
      <c r="J450" s="47"/>
      <c r="K450" s="47"/>
      <c r="L450" s="47"/>
      <c r="M450" s="47"/>
      <c r="N450" s="47"/>
      <c r="O450" s="47"/>
      <c r="P450" s="47"/>
      <c r="Q450" s="47"/>
      <c r="R450" s="47"/>
      <c r="S450" s="47"/>
      <c r="T450" s="47"/>
      <c r="U450" s="47"/>
    </row>
    <row r="451" spans="1:21" ht="12.75">
      <c r="A451" s="47"/>
      <c r="B451" s="47"/>
      <c r="C451" s="47"/>
      <c r="D451" s="47"/>
      <c r="E451" s="47"/>
      <c r="F451" s="47"/>
      <c r="G451" s="47"/>
      <c r="H451" s="47"/>
      <c r="I451" s="80"/>
      <c r="J451" s="80"/>
      <c r="K451" s="80"/>
      <c r="L451" s="80"/>
      <c r="M451" s="80"/>
      <c r="N451" s="80"/>
      <c r="O451" s="80"/>
      <c r="P451" s="80"/>
      <c r="Q451" s="80"/>
      <c r="R451" s="80"/>
      <c r="S451" s="80"/>
      <c r="T451" s="80"/>
      <c r="U451" s="80"/>
    </row>
    <row r="452" spans="1:21" ht="12.75">
      <c r="A452" s="47"/>
      <c r="B452" s="47"/>
      <c r="C452" s="47"/>
      <c r="D452" s="47"/>
      <c r="E452" s="47"/>
      <c r="F452" s="47"/>
      <c r="G452" s="47"/>
      <c r="H452" s="47"/>
      <c r="I452" s="80"/>
      <c r="J452" s="80"/>
      <c r="K452" s="80"/>
      <c r="L452" s="80"/>
      <c r="M452" s="80"/>
      <c r="N452" s="80"/>
      <c r="O452" s="80"/>
      <c r="P452" s="80"/>
      <c r="Q452" s="80"/>
      <c r="R452" s="80"/>
      <c r="S452" s="80"/>
      <c r="T452" s="80"/>
      <c r="U452" s="80"/>
    </row>
    <row r="453" spans="1:21" ht="12.75">
      <c r="A453" s="47"/>
      <c r="B453" s="47"/>
      <c r="C453" s="47"/>
      <c r="D453" s="47"/>
      <c r="E453" s="47"/>
      <c r="F453" s="47"/>
      <c r="G453" s="47"/>
      <c r="H453" s="47"/>
      <c r="I453" s="80"/>
      <c r="J453" s="80"/>
      <c r="K453" s="80"/>
      <c r="L453" s="80"/>
      <c r="M453" s="80"/>
      <c r="N453" s="80"/>
      <c r="O453" s="80"/>
      <c r="P453" s="80"/>
      <c r="Q453" s="80"/>
      <c r="R453" s="80"/>
      <c r="S453" s="80"/>
      <c r="T453" s="80"/>
      <c r="U453" s="80"/>
    </row>
    <row r="454" spans="1:21" ht="12.75">
      <c r="A454" s="47"/>
      <c r="B454" s="47"/>
      <c r="C454" s="47"/>
      <c r="D454" s="47"/>
      <c r="E454" s="47"/>
      <c r="F454" s="47"/>
      <c r="G454" s="47"/>
      <c r="H454" s="47"/>
      <c r="I454" s="80"/>
      <c r="J454" s="80"/>
      <c r="K454" s="80"/>
      <c r="L454" s="80"/>
      <c r="M454" s="80"/>
      <c r="N454" s="80"/>
      <c r="O454" s="80"/>
      <c r="P454" s="80"/>
      <c r="Q454" s="80"/>
      <c r="R454" s="80"/>
      <c r="S454" s="80"/>
      <c r="T454" s="80"/>
      <c r="U454" s="80"/>
    </row>
    <row r="455" spans="1:21" ht="12.75">
      <c r="A455" s="47"/>
      <c r="B455" s="47"/>
      <c r="C455" s="47"/>
      <c r="D455" s="47"/>
      <c r="E455" s="47"/>
      <c r="F455" s="47"/>
      <c r="G455" s="47"/>
      <c r="H455" s="47"/>
      <c r="I455" s="80"/>
      <c r="J455" s="80"/>
      <c r="K455" s="80"/>
      <c r="L455" s="80"/>
      <c r="M455" s="80"/>
      <c r="N455" s="80"/>
      <c r="O455" s="80"/>
      <c r="P455" s="80"/>
      <c r="Q455" s="80"/>
      <c r="R455" s="80"/>
      <c r="S455" s="80"/>
      <c r="T455" s="80"/>
      <c r="U455" s="80"/>
    </row>
    <row r="456" spans="1:21" ht="12.75">
      <c r="A456" s="47"/>
      <c r="B456" s="47"/>
      <c r="C456" s="47"/>
      <c r="D456" s="47"/>
      <c r="E456" s="47"/>
      <c r="F456" s="47"/>
      <c r="G456" s="47"/>
      <c r="H456" s="47"/>
      <c r="I456" s="80"/>
      <c r="J456" s="80"/>
      <c r="K456" s="80"/>
      <c r="L456" s="80"/>
      <c r="M456" s="80"/>
      <c r="N456" s="80"/>
      <c r="O456" s="80"/>
      <c r="P456" s="80"/>
      <c r="Q456" s="80"/>
      <c r="R456" s="80"/>
      <c r="S456" s="80"/>
      <c r="T456" s="80"/>
      <c r="U456" s="80"/>
    </row>
    <row r="457" spans="1:21" ht="12.75">
      <c r="A457" s="47"/>
      <c r="B457" s="47"/>
      <c r="C457" s="47"/>
      <c r="D457" s="47"/>
      <c r="E457" s="47"/>
      <c r="F457" s="47"/>
      <c r="G457" s="47"/>
      <c r="H457" s="47"/>
      <c r="I457" s="80"/>
      <c r="J457" s="80"/>
      <c r="K457" s="80"/>
      <c r="L457" s="80"/>
      <c r="M457" s="80"/>
      <c r="N457" s="80"/>
      <c r="O457" s="80"/>
      <c r="P457" s="80"/>
      <c r="Q457" s="80"/>
      <c r="R457" s="80"/>
      <c r="S457" s="80"/>
      <c r="T457" s="80"/>
      <c r="U457" s="80"/>
    </row>
    <row r="458" spans="1:21" ht="12.75">
      <c r="A458" s="47"/>
      <c r="B458" s="47"/>
      <c r="C458" s="47"/>
      <c r="D458" s="47"/>
      <c r="E458" s="47"/>
      <c r="F458" s="47"/>
      <c r="G458" s="47"/>
      <c r="H458" s="47"/>
      <c r="I458" s="80"/>
      <c r="J458" s="80"/>
      <c r="K458" s="80"/>
      <c r="L458" s="80"/>
      <c r="M458" s="80"/>
      <c r="N458" s="80"/>
      <c r="O458" s="80"/>
      <c r="P458" s="80"/>
      <c r="Q458" s="80"/>
      <c r="R458" s="80"/>
      <c r="S458" s="80"/>
      <c r="T458" s="80"/>
      <c r="U458" s="80"/>
    </row>
    <row r="459" spans="1:21" ht="12.75">
      <c r="A459" s="47"/>
      <c r="B459" s="47"/>
      <c r="C459" s="47"/>
      <c r="D459" s="47"/>
      <c r="E459" s="47"/>
      <c r="F459" s="47"/>
      <c r="G459" s="47"/>
      <c r="H459" s="47"/>
      <c r="I459" s="80"/>
      <c r="J459" s="80"/>
      <c r="K459" s="80"/>
      <c r="L459" s="80"/>
      <c r="M459" s="80"/>
      <c r="N459" s="80"/>
      <c r="O459" s="80"/>
      <c r="P459" s="80"/>
      <c r="Q459" s="80"/>
      <c r="R459" s="80"/>
      <c r="S459" s="80"/>
      <c r="T459" s="80"/>
      <c r="U459" s="80"/>
    </row>
    <row r="460" spans="1:21" ht="12.75">
      <c r="A460" s="47"/>
      <c r="B460" s="47"/>
      <c r="C460" s="47"/>
      <c r="D460" s="47"/>
      <c r="E460" s="47"/>
      <c r="F460" s="47"/>
      <c r="G460" s="47"/>
      <c r="H460" s="47"/>
      <c r="I460" s="80"/>
      <c r="J460" s="80"/>
      <c r="K460" s="80"/>
      <c r="L460" s="80"/>
      <c r="M460" s="80"/>
      <c r="N460" s="80"/>
      <c r="O460" s="80"/>
      <c r="P460" s="80"/>
      <c r="Q460" s="80"/>
      <c r="R460" s="80"/>
      <c r="S460" s="80"/>
      <c r="T460" s="80"/>
      <c r="U460" s="80"/>
    </row>
    <row r="461" spans="1:21" ht="12.75">
      <c r="A461" s="47"/>
      <c r="B461" s="47"/>
      <c r="C461" s="47"/>
      <c r="D461" s="47"/>
      <c r="E461" s="47"/>
      <c r="F461" s="47"/>
      <c r="G461" s="47"/>
      <c r="H461" s="47"/>
      <c r="I461" s="80"/>
      <c r="J461" s="80"/>
      <c r="K461" s="80"/>
      <c r="L461" s="80"/>
      <c r="M461" s="80"/>
      <c r="N461" s="80"/>
      <c r="O461" s="80"/>
      <c r="P461" s="80"/>
      <c r="Q461" s="80"/>
      <c r="R461" s="80"/>
      <c r="S461" s="80"/>
      <c r="T461" s="80"/>
      <c r="U461" s="80"/>
    </row>
    <row r="462" spans="1:21" ht="12.75">
      <c r="A462" s="47"/>
      <c r="B462" s="47"/>
      <c r="C462" s="47"/>
      <c r="D462" s="47"/>
      <c r="E462" s="47"/>
      <c r="F462" s="47"/>
      <c r="G462" s="47"/>
      <c r="H462" s="47"/>
      <c r="I462" s="80"/>
      <c r="J462" s="80"/>
      <c r="K462" s="80"/>
      <c r="L462" s="80"/>
      <c r="M462" s="80"/>
      <c r="N462" s="80"/>
      <c r="O462" s="80"/>
      <c r="P462" s="80"/>
      <c r="Q462" s="80"/>
      <c r="R462" s="80"/>
      <c r="S462" s="80"/>
      <c r="T462" s="80"/>
      <c r="U462" s="80"/>
    </row>
    <row r="463" spans="1:21" ht="12.75">
      <c r="A463" s="47"/>
      <c r="B463" s="47"/>
      <c r="C463" s="47"/>
      <c r="D463" s="47"/>
      <c r="E463" s="47"/>
      <c r="F463" s="47"/>
      <c r="G463" s="47"/>
      <c r="H463" s="47"/>
      <c r="I463" s="80"/>
      <c r="J463" s="80"/>
      <c r="K463" s="80"/>
      <c r="L463" s="80"/>
      <c r="M463" s="80"/>
      <c r="N463" s="80"/>
      <c r="O463" s="80"/>
      <c r="P463" s="80"/>
      <c r="Q463" s="80"/>
      <c r="R463" s="80"/>
      <c r="S463" s="80"/>
      <c r="T463" s="80"/>
      <c r="U463" s="80"/>
    </row>
    <row r="464" spans="1:21" ht="12.75">
      <c r="A464" s="47"/>
      <c r="B464" s="47"/>
      <c r="C464" s="47"/>
      <c r="D464" s="47"/>
      <c r="E464" s="47"/>
      <c r="F464" s="47"/>
      <c r="G464" s="47"/>
      <c r="H464" s="47"/>
      <c r="I464" s="80"/>
      <c r="J464" s="80"/>
      <c r="K464" s="80"/>
      <c r="L464" s="80"/>
      <c r="M464" s="80"/>
      <c r="N464" s="80"/>
      <c r="O464" s="80"/>
      <c r="P464" s="80"/>
      <c r="Q464" s="80"/>
      <c r="R464" s="80"/>
      <c r="S464" s="80"/>
      <c r="T464" s="80"/>
      <c r="U464" s="80"/>
    </row>
    <row r="465" spans="1:21" ht="12.75">
      <c r="A465" s="47"/>
      <c r="B465" s="47"/>
      <c r="C465" s="47"/>
      <c r="D465" s="47"/>
      <c r="E465" s="47"/>
      <c r="F465" s="47"/>
      <c r="G465" s="47"/>
      <c r="H465" s="47"/>
      <c r="I465" s="80"/>
      <c r="J465" s="80"/>
      <c r="K465" s="80"/>
      <c r="L465" s="80"/>
      <c r="M465" s="80"/>
      <c r="N465" s="80"/>
      <c r="O465" s="80"/>
      <c r="P465" s="80"/>
      <c r="Q465" s="80"/>
      <c r="R465" s="80"/>
      <c r="S465" s="80"/>
      <c r="T465" s="80"/>
      <c r="U465" s="80"/>
    </row>
    <row r="466" spans="1:21" ht="12.75">
      <c r="A466" s="47"/>
      <c r="B466" s="47"/>
      <c r="C466" s="47"/>
      <c r="D466" s="47"/>
      <c r="E466" s="47"/>
      <c r="F466" s="47"/>
      <c r="G466" s="47"/>
      <c r="H466" s="47"/>
      <c r="I466" s="80"/>
      <c r="J466" s="80"/>
      <c r="K466" s="80"/>
      <c r="L466" s="80"/>
      <c r="M466" s="80"/>
      <c r="N466" s="80"/>
      <c r="O466" s="80"/>
      <c r="P466" s="80"/>
      <c r="Q466" s="80"/>
      <c r="R466" s="80"/>
      <c r="S466" s="80"/>
      <c r="T466" s="80"/>
      <c r="U466" s="80"/>
    </row>
    <row r="467" spans="1:21" ht="12.75">
      <c r="A467" s="47"/>
      <c r="B467" s="47"/>
      <c r="C467" s="47"/>
      <c r="D467" s="47"/>
      <c r="E467" s="47"/>
      <c r="F467" s="47"/>
      <c r="G467" s="47"/>
      <c r="H467" s="47"/>
      <c r="I467" s="80"/>
      <c r="J467" s="80"/>
      <c r="K467" s="80"/>
      <c r="L467" s="80"/>
      <c r="M467" s="80"/>
      <c r="N467" s="80"/>
      <c r="O467" s="80"/>
      <c r="P467" s="80"/>
      <c r="Q467" s="80"/>
      <c r="R467" s="80"/>
      <c r="S467" s="80"/>
      <c r="T467" s="80"/>
      <c r="U467" s="80"/>
    </row>
    <row r="468" spans="1:21" ht="12.75">
      <c r="A468" s="47"/>
      <c r="B468" s="47"/>
      <c r="C468" s="47"/>
      <c r="D468" s="47"/>
      <c r="E468" s="47"/>
      <c r="F468" s="47"/>
      <c r="G468" s="47"/>
      <c r="H468" s="47"/>
      <c r="I468" s="80"/>
      <c r="J468" s="80"/>
      <c r="K468" s="80"/>
      <c r="L468" s="80"/>
      <c r="M468" s="80"/>
      <c r="N468" s="80"/>
      <c r="O468" s="80"/>
      <c r="P468" s="80"/>
      <c r="Q468" s="80"/>
      <c r="R468" s="80"/>
      <c r="S468" s="80"/>
      <c r="T468" s="80"/>
      <c r="U468" s="80"/>
    </row>
    <row r="469" spans="1:21" ht="12.75">
      <c r="A469" s="47"/>
      <c r="B469" s="47"/>
      <c r="C469" s="47"/>
      <c r="D469" s="47"/>
      <c r="E469" s="47"/>
      <c r="F469" s="47"/>
      <c r="G469" s="47"/>
      <c r="H469" s="47"/>
      <c r="I469" s="80"/>
      <c r="J469" s="80"/>
      <c r="K469" s="80"/>
      <c r="L469" s="80"/>
      <c r="M469" s="80"/>
      <c r="N469" s="80"/>
      <c r="O469" s="80"/>
      <c r="P469" s="80"/>
      <c r="Q469" s="80"/>
      <c r="R469" s="80"/>
      <c r="S469" s="80"/>
      <c r="T469" s="80"/>
      <c r="U469" s="80"/>
    </row>
    <row r="470" spans="1:21" ht="12.75">
      <c r="A470" s="47"/>
      <c r="B470" s="47"/>
      <c r="C470" s="47"/>
      <c r="D470" s="47"/>
      <c r="E470" s="47"/>
      <c r="F470" s="47"/>
      <c r="G470" s="47"/>
      <c r="H470" s="47"/>
      <c r="I470" s="80"/>
      <c r="J470" s="80"/>
      <c r="K470" s="80"/>
      <c r="L470" s="80"/>
      <c r="M470" s="80"/>
      <c r="N470" s="80"/>
      <c r="O470" s="80"/>
      <c r="P470" s="80"/>
      <c r="Q470" s="80"/>
      <c r="R470" s="80"/>
      <c r="S470" s="80"/>
      <c r="T470" s="80"/>
      <c r="U470" s="80"/>
    </row>
    <row r="471" spans="1:21" ht="12.75">
      <c r="A471" s="47"/>
      <c r="B471" s="47"/>
      <c r="C471" s="47"/>
      <c r="D471" s="47"/>
      <c r="E471" s="47"/>
      <c r="F471" s="47"/>
      <c r="G471" s="47"/>
      <c r="H471" s="47"/>
      <c r="I471" s="80"/>
      <c r="J471" s="80"/>
      <c r="K471" s="80"/>
      <c r="L471" s="80"/>
      <c r="M471" s="80"/>
      <c r="N471" s="80"/>
      <c r="O471" s="80"/>
      <c r="P471" s="80"/>
      <c r="Q471" s="80"/>
      <c r="R471" s="80"/>
      <c r="S471" s="80"/>
      <c r="T471" s="80"/>
      <c r="U471" s="80"/>
    </row>
    <row r="472" spans="1:21" ht="12.75">
      <c r="A472" s="47"/>
      <c r="B472" s="47"/>
      <c r="C472" s="47"/>
      <c r="D472" s="47"/>
      <c r="E472" s="47"/>
      <c r="F472" s="47"/>
      <c r="G472" s="47"/>
      <c r="H472" s="47"/>
      <c r="I472" s="80"/>
      <c r="J472" s="80"/>
      <c r="K472" s="80"/>
      <c r="L472" s="80"/>
      <c r="M472" s="80"/>
      <c r="N472" s="80"/>
      <c r="O472" s="80"/>
      <c r="P472" s="80"/>
      <c r="Q472" s="80"/>
      <c r="R472" s="80"/>
      <c r="S472" s="80"/>
      <c r="T472" s="80"/>
      <c r="U472" s="80"/>
    </row>
    <row r="473" spans="1:21" ht="12.75">
      <c r="A473" s="47"/>
      <c r="B473" s="47"/>
      <c r="C473" s="47"/>
      <c r="D473" s="47"/>
      <c r="E473" s="47"/>
      <c r="F473" s="47"/>
      <c r="G473" s="47"/>
      <c r="H473" s="47"/>
      <c r="I473" s="80"/>
      <c r="J473" s="80"/>
      <c r="K473" s="80"/>
      <c r="L473" s="80"/>
      <c r="M473" s="80"/>
      <c r="N473" s="80"/>
      <c r="O473" s="80"/>
      <c r="P473" s="80"/>
      <c r="Q473" s="80"/>
      <c r="R473" s="80"/>
      <c r="S473" s="80"/>
      <c r="T473" s="80"/>
      <c r="U473" s="80"/>
    </row>
    <row r="474" spans="1:21" ht="12.75">
      <c r="A474" s="47"/>
      <c r="B474" s="47"/>
      <c r="C474" s="47"/>
      <c r="D474" s="47"/>
      <c r="E474" s="47"/>
      <c r="F474" s="47"/>
      <c r="G474" s="47"/>
      <c r="H474" s="47"/>
      <c r="I474" s="80"/>
      <c r="J474" s="80"/>
      <c r="K474" s="80"/>
      <c r="L474" s="80"/>
      <c r="M474" s="80"/>
      <c r="N474" s="80"/>
      <c r="O474" s="80"/>
      <c r="P474" s="80"/>
      <c r="Q474" s="80"/>
      <c r="R474" s="80"/>
      <c r="S474" s="80"/>
      <c r="T474" s="80"/>
      <c r="U474" s="80"/>
    </row>
    <row r="475" spans="1:21" ht="12.75">
      <c r="A475" s="47"/>
      <c r="B475" s="47"/>
      <c r="C475" s="47"/>
      <c r="D475" s="47"/>
      <c r="E475" s="47"/>
      <c r="F475" s="47"/>
      <c r="G475" s="47"/>
      <c r="H475" s="47"/>
      <c r="I475" s="80"/>
      <c r="J475" s="80"/>
      <c r="K475" s="80"/>
      <c r="L475" s="80"/>
      <c r="M475" s="80"/>
      <c r="N475" s="80"/>
      <c r="O475" s="80"/>
      <c r="P475" s="80"/>
      <c r="Q475" s="80"/>
      <c r="R475" s="80"/>
      <c r="S475" s="80"/>
      <c r="T475" s="80"/>
      <c r="U475" s="80"/>
    </row>
    <row r="476" spans="1:21" ht="12.75">
      <c r="A476" s="47"/>
      <c r="B476" s="47"/>
      <c r="C476" s="47"/>
      <c r="D476" s="47"/>
      <c r="E476" s="47"/>
      <c r="F476" s="47"/>
      <c r="G476" s="47"/>
      <c r="H476" s="47"/>
      <c r="I476" s="80"/>
      <c r="J476" s="80"/>
      <c r="K476" s="80"/>
      <c r="L476" s="80"/>
      <c r="M476" s="80"/>
      <c r="N476" s="80"/>
      <c r="O476" s="80"/>
      <c r="P476" s="80"/>
      <c r="Q476" s="80"/>
      <c r="R476" s="80"/>
      <c r="S476" s="80"/>
      <c r="T476" s="80"/>
      <c r="U476" s="80"/>
    </row>
    <row r="477" spans="1:21" ht="12.75">
      <c r="A477" s="47"/>
      <c r="B477" s="47"/>
      <c r="C477" s="47"/>
      <c r="D477" s="47"/>
      <c r="E477" s="47"/>
      <c r="F477" s="47"/>
      <c r="G477" s="47"/>
      <c r="H477" s="47"/>
      <c r="I477" s="80"/>
      <c r="J477" s="80"/>
      <c r="K477" s="80"/>
      <c r="L477" s="80"/>
      <c r="M477" s="80"/>
      <c r="N477" s="80"/>
      <c r="O477" s="80"/>
      <c r="P477" s="80"/>
      <c r="Q477" s="80"/>
      <c r="R477" s="80"/>
      <c r="S477" s="80"/>
      <c r="T477" s="80"/>
      <c r="U477" s="80"/>
    </row>
    <row r="478" spans="1:21" ht="12.75">
      <c r="A478" s="47"/>
      <c r="B478" s="47"/>
      <c r="C478" s="47"/>
      <c r="D478" s="47"/>
      <c r="E478" s="47"/>
      <c r="F478" s="47"/>
      <c r="G478" s="47"/>
      <c r="H478" s="47"/>
      <c r="I478" s="80"/>
      <c r="J478" s="80"/>
      <c r="K478" s="80"/>
      <c r="L478" s="80"/>
      <c r="M478" s="80"/>
      <c r="N478" s="80"/>
      <c r="O478" s="80"/>
      <c r="P478" s="80"/>
      <c r="Q478" s="80"/>
      <c r="R478" s="80"/>
      <c r="S478" s="80"/>
      <c r="T478" s="80"/>
      <c r="U478" s="80"/>
    </row>
    <row r="479" spans="1:21" ht="12.75">
      <c r="A479" s="47"/>
      <c r="B479" s="47"/>
      <c r="C479" s="47"/>
      <c r="D479" s="47"/>
      <c r="E479" s="47"/>
      <c r="F479" s="47"/>
      <c r="G479" s="47"/>
      <c r="H479" s="47"/>
      <c r="I479" s="80"/>
      <c r="J479" s="80"/>
      <c r="K479" s="80"/>
      <c r="L479" s="80"/>
      <c r="M479" s="80"/>
      <c r="N479" s="80"/>
      <c r="O479" s="80"/>
      <c r="P479" s="80"/>
      <c r="Q479" s="80"/>
      <c r="R479" s="80"/>
      <c r="S479" s="80"/>
      <c r="T479" s="80"/>
      <c r="U479" s="80"/>
    </row>
    <row r="480" spans="1:21" ht="12.75">
      <c r="A480" s="47"/>
      <c r="B480" s="47"/>
      <c r="C480" s="47"/>
      <c r="D480" s="47"/>
      <c r="E480" s="47"/>
      <c r="F480" s="47"/>
      <c r="G480" s="47"/>
      <c r="H480" s="47"/>
      <c r="I480" s="80"/>
      <c r="J480" s="80"/>
      <c r="K480" s="80"/>
      <c r="L480" s="80"/>
      <c r="M480" s="80"/>
      <c r="N480" s="80"/>
      <c r="O480" s="80"/>
      <c r="P480" s="80"/>
      <c r="Q480" s="80"/>
      <c r="R480" s="80"/>
      <c r="S480" s="80"/>
      <c r="T480" s="80"/>
      <c r="U480" s="80"/>
    </row>
    <row r="481" spans="1:21" ht="12.75">
      <c r="A481" s="47"/>
      <c r="B481" s="47"/>
      <c r="C481" s="47"/>
      <c r="D481" s="47"/>
      <c r="E481" s="47"/>
      <c r="F481" s="47"/>
      <c r="G481" s="47"/>
      <c r="H481" s="47"/>
      <c r="I481" s="80"/>
      <c r="J481" s="80"/>
      <c r="K481" s="80"/>
      <c r="L481" s="80"/>
      <c r="M481" s="80"/>
      <c r="N481" s="80"/>
      <c r="O481" s="80"/>
      <c r="P481" s="80"/>
      <c r="Q481" s="80"/>
      <c r="R481" s="80"/>
      <c r="S481" s="80"/>
      <c r="T481" s="80"/>
      <c r="U481" s="80"/>
    </row>
    <row r="482" spans="1:21" ht="12.75">
      <c r="A482" s="47"/>
      <c r="B482" s="47"/>
      <c r="C482" s="47"/>
      <c r="D482" s="47"/>
      <c r="E482" s="47"/>
      <c r="F482" s="47"/>
      <c r="G482" s="47"/>
      <c r="H482" s="47"/>
      <c r="I482" s="80"/>
      <c r="J482" s="80"/>
      <c r="K482" s="80"/>
      <c r="L482" s="80"/>
      <c r="M482" s="80"/>
      <c r="N482" s="80"/>
      <c r="O482" s="80"/>
      <c r="P482" s="80"/>
      <c r="Q482" s="80"/>
      <c r="R482" s="80"/>
      <c r="S482" s="80"/>
      <c r="T482" s="80"/>
      <c r="U482" s="80"/>
    </row>
    <row r="483" spans="1:21" ht="12.75">
      <c r="A483" s="47"/>
      <c r="B483" s="47"/>
      <c r="C483" s="47"/>
      <c r="D483" s="47"/>
      <c r="E483" s="47"/>
      <c r="F483" s="47"/>
      <c r="G483" s="47"/>
      <c r="H483" s="47"/>
      <c r="I483" s="80"/>
      <c r="J483" s="80"/>
      <c r="K483" s="80"/>
      <c r="L483" s="80"/>
      <c r="M483" s="80"/>
      <c r="N483" s="80"/>
      <c r="O483" s="80"/>
      <c r="P483" s="80"/>
      <c r="Q483" s="80"/>
      <c r="R483" s="80"/>
      <c r="S483" s="80"/>
      <c r="T483" s="80"/>
      <c r="U483" s="80"/>
    </row>
    <row r="484" spans="1:21" ht="12.75">
      <c r="A484" s="47"/>
      <c r="B484" s="47"/>
      <c r="C484" s="47"/>
      <c r="D484" s="47"/>
      <c r="E484" s="47"/>
      <c r="F484" s="47"/>
      <c r="G484" s="47"/>
      <c r="H484" s="47"/>
      <c r="I484" s="80"/>
      <c r="J484" s="80"/>
      <c r="K484" s="80"/>
      <c r="L484" s="80"/>
      <c r="M484" s="80"/>
      <c r="N484" s="80"/>
      <c r="O484" s="80"/>
      <c r="P484" s="80"/>
      <c r="Q484" s="80"/>
      <c r="R484" s="80"/>
      <c r="S484" s="80"/>
      <c r="T484" s="80"/>
      <c r="U484" s="80"/>
    </row>
    <row r="485" spans="1:21" ht="12.75">
      <c r="A485" s="47"/>
      <c r="B485" s="47"/>
      <c r="C485" s="47"/>
      <c r="D485" s="47"/>
      <c r="E485" s="47"/>
      <c r="F485" s="47"/>
      <c r="G485" s="47"/>
      <c r="H485" s="47"/>
      <c r="I485" s="80"/>
      <c r="J485" s="80"/>
      <c r="K485" s="80"/>
      <c r="L485" s="80"/>
      <c r="M485" s="80"/>
      <c r="N485" s="80"/>
      <c r="O485" s="80"/>
      <c r="P485" s="80"/>
      <c r="Q485" s="80"/>
      <c r="R485" s="80"/>
      <c r="S485" s="80"/>
      <c r="T485" s="80"/>
      <c r="U485" s="80"/>
    </row>
    <row r="486" spans="1:21" ht="12.75">
      <c r="A486" s="47"/>
      <c r="B486" s="47"/>
      <c r="C486" s="47"/>
      <c r="D486" s="47"/>
      <c r="E486" s="47"/>
      <c r="F486" s="47"/>
      <c r="G486" s="47"/>
      <c r="H486" s="47"/>
      <c r="I486" s="80"/>
      <c r="J486" s="80"/>
      <c r="K486" s="80"/>
      <c r="L486" s="80"/>
      <c r="M486" s="80"/>
      <c r="N486" s="80"/>
      <c r="O486" s="80"/>
      <c r="P486" s="80"/>
      <c r="Q486" s="80"/>
      <c r="R486" s="80"/>
      <c r="S486" s="80"/>
      <c r="T486" s="80"/>
      <c r="U486" s="80"/>
    </row>
    <row r="487" spans="1:21" ht="12.75">
      <c r="A487" s="47"/>
      <c r="B487" s="47"/>
      <c r="C487" s="47"/>
      <c r="D487" s="47"/>
      <c r="E487" s="47"/>
      <c r="F487" s="47"/>
      <c r="G487" s="47"/>
      <c r="H487" s="47"/>
      <c r="I487" s="80"/>
      <c r="J487" s="80"/>
      <c r="K487" s="80"/>
      <c r="L487" s="80"/>
      <c r="M487" s="80"/>
      <c r="N487" s="80"/>
      <c r="O487" s="80"/>
      <c r="P487" s="80"/>
      <c r="Q487" s="80"/>
      <c r="R487" s="80"/>
      <c r="S487" s="80"/>
      <c r="T487" s="80"/>
      <c r="U487" s="80"/>
    </row>
    <row r="488" spans="1:21" ht="12.75">
      <c r="A488" s="47"/>
      <c r="B488" s="47"/>
      <c r="C488" s="47"/>
      <c r="D488" s="47"/>
      <c r="E488" s="47"/>
      <c r="F488" s="47"/>
      <c r="G488" s="47"/>
      <c r="H488" s="47"/>
      <c r="I488" s="80"/>
      <c r="J488" s="80"/>
      <c r="K488" s="80"/>
      <c r="L488" s="80"/>
      <c r="M488" s="80"/>
      <c r="N488" s="80"/>
      <c r="O488" s="80"/>
      <c r="P488" s="80"/>
      <c r="Q488" s="80"/>
      <c r="R488" s="80"/>
      <c r="S488" s="80"/>
      <c r="T488" s="80"/>
      <c r="U488" s="80"/>
    </row>
    <row r="489" spans="1:21" ht="12.75">
      <c r="A489" s="47"/>
      <c r="B489" s="47"/>
      <c r="C489" s="47"/>
      <c r="D489" s="47"/>
      <c r="E489" s="47"/>
      <c r="F489" s="47"/>
      <c r="G489" s="47"/>
      <c r="H489" s="47"/>
      <c r="I489" s="80"/>
      <c r="J489" s="80"/>
      <c r="K489" s="80"/>
      <c r="L489" s="80"/>
      <c r="M489" s="80"/>
      <c r="N489" s="80"/>
      <c r="O489" s="80"/>
      <c r="P489" s="80"/>
      <c r="Q489" s="80"/>
      <c r="R489" s="80"/>
      <c r="S489" s="80"/>
      <c r="T489" s="80"/>
      <c r="U489" s="80"/>
    </row>
    <row r="490" spans="1:21" ht="12.75">
      <c r="A490" s="47"/>
      <c r="B490" s="47"/>
      <c r="C490" s="47"/>
      <c r="D490" s="47"/>
      <c r="E490" s="47"/>
      <c r="F490" s="47"/>
      <c r="G490" s="47"/>
      <c r="H490" s="47"/>
      <c r="I490" s="80"/>
      <c r="J490" s="80"/>
      <c r="K490" s="80"/>
      <c r="L490" s="80"/>
      <c r="M490" s="80"/>
      <c r="N490" s="80"/>
      <c r="O490" s="80"/>
      <c r="P490" s="80"/>
      <c r="Q490" s="80"/>
      <c r="R490" s="80"/>
      <c r="S490" s="80"/>
      <c r="T490" s="80"/>
      <c r="U490" s="80"/>
    </row>
    <row r="491" spans="1:21" ht="12.75">
      <c r="A491" s="47"/>
      <c r="B491" s="47"/>
      <c r="C491" s="47"/>
      <c r="D491" s="47"/>
      <c r="E491" s="47"/>
      <c r="F491" s="47"/>
      <c r="G491" s="47"/>
      <c r="H491" s="47"/>
      <c r="I491" s="80"/>
      <c r="J491" s="80"/>
      <c r="K491" s="80"/>
      <c r="L491" s="80"/>
      <c r="M491" s="80"/>
      <c r="N491" s="80"/>
      <c r="O491" s="80"/>
      <c r="P491" s="80"/>
      <c r="Q491" s="80"/>
      <c r="R491" s="80"/>
      <c r="S491" s="80"/>
      <c r="T491" s="80"/>
      <c r="U491" s="80"/>
    </row>
    <row r="492" spans="1:21" ht="12.75">
      <c r="A492" s="47"/>
      <c r="B492" s="47"/>
      <c r="C492" s="47"/>
      <c r="D492" s="47"/>
      <c r="E492" s="47"/>
      <c r="F492" s="47"/>
      <c r="G492" s="47"/>
      <c r="H492" s="47"/>
      <c r="I492" s="80"/>
      <c r="J492" s="80"/>
      <c r="K492" s="80"/>
      <c r="L492" s="80"/>
      <c r="M492" s="80"/>
      <c r="N492" s="80"/>
      <c r="O492" s="80"/>
      <c r="P492" s="80"/>
      <c r="Q492" s="80"/>
      <c r="R492" s="80"/>
      <c r="S492" s="80"/>
      <c r="T492" s="80"/>
      <c r="U492" s="80"/>
    </row>
    <row r="493" spans="1:21" ht="12.75">
      <c r="A493" s="47"/>
      <c r="B493" s="47"/>
      <c r="C493" s="47"/>
      <c r="D493" s="47"/>
      <c r="E493" s="47"/>
      <c r="F493" s="47"/>
      <c r="G493" s="47"/>
      <c r="H493" s="47"/>
      <c r="I493" s="80"/>
      <c r="J493" s="80"/>
      <c r="K493" s="80"/>
      <c r="L493" s="80"/>
      <c r="M493" s="80"/>
      <c r="N493" s="80"/>
      <c r="O493" s="80"/>
      <c r="P493" s="80"/>
      <c r="Q493" s="80"/>
      <c r="R493" s="80"/>
      <c r="S493" s="80"/>
      <c r="T493" s="80"/>
      <c r="U493" s="80"/>
    </row>
    <row r="494" spans="1:21" ht="12.75">
      <c r="A494" s="47"/>
      <c r="B494" s="47"/>
      <c r="C494" s="47"/>
      <c r="D494" s="47"/>
      <c r="E494" s="47"/>
      <c r="F494" s="47"/>
      <c r="G494" s="47"/>
      <c r="H494" s="47"/>
      <c r="I494" s="80"/>
      <c r="J494" s="80"/>
      <c r="K494" s="80"/>
      <c r="L494" s="80"/>
      <c r="M494" s="80"/>
      <c r="N494" s="80"/>
      <c r="O494" s="80"/>
      <c r="P494" s="80"/>
      <c r="Q494" s="80"/>
      <c r="R494" s="80"/>
      <c r="S494" s="80"/>
      <c r="T494" s="80"/>
      <c r="U494" s="80"/>
    </row>
    <row r="495" spans="1:21" ht="12.75">
      <c r="A495" s="47"/>
      <c r="B495" s="47"/>
      <c r="C495" s="47"/>
      <c r="D495" s="47"/>
      <c r="E495" s="47"/>
      <c r="F495" s="47"/>
      <c r="G495" s="47"/>
      <c r="H495" s="47"/>
      <c r="I495" s="80"/>
      <c r="J495" s="80"/>
      <c r="K495" s="80"/>
      <c r="L495" s="80"/>
      <c r="M495" s="80"/>
      <c r="N495" s="80"/>
      <c r="O495" s="80"/>
      <c r="P495" s="80"/>
      <c r="Q495" s="80"/>
      <c r="R495" s="80"/>
      <c r="S495" s="80"/>
      <c r="T495" s="80"/>
      <c r="U495" s="80"/>
    </row>
    <row r="496" spans="1:21" ht="12.75">
      <c r="A496" s="47"/>
      <c r="B496" s="47"/>
      <c r="C496" s="47"/>
      <c r="D496" s="47"/>
      <c r="E496" s="47"/>
      <c r="F496" s="47"/>
      <c r="G496" s="47"/>
      <c r="H496" s="47"/>
      <c r="I496" s="80"/>
      <c r="J496" s="80"/>
      <c r="K496" s="80"/>
      <c r="L496" s="80"/>
      <c r="M496" s="80"/>
      <c r="N496" s="80"/>
      <c r="O496" s="80"/>
      <c r="P496" s="80"/>
      <c r="Q496" s="80"/>
      <c r="R496" s="80"/>
      <c r="S496" s="80"/>
      <c r="T496" s="80"/>
      <c r="U496" s="80"/>
    </row>
    <row r="497" spans="1:21" ht="12.75">
      <c r="A497" s="47"/>
      <c r="B497" s="47"/>
      <c r="C497" s="47"/>
      <c r="D497" s="47"/>
      <c r="E497" s="47"/>
      <c r="F497" s="47"/>
      <c r="G497" s="47"/>
      <c r="H497" s="47"/>
      <c r="I497" s="80"/>
      <c r="J497" s="80"/>
      <c r="K497" s="80"/>
      <c r="L497" s="80"/>
      <c r="M497" s="80"/>
      <c r="N497" s="80"/>
      <c r="O497" s="80"/>
      <c r="P497" s="80"/>
      <c r="Q497" s="80"/>
      <c r="R497" s="80"/>
      <c r="S497" s="80"/>
      <c r="T497" s="80"/>
      <c r="U497" s="80"/>
    </row>
    <row r="498" spans="1:21" ht="12.75">
      <c r="A498" s="47"/>
      <c r="B498" s="47"/>
      <c r="C498" s="47"/>
      <c r="D498" s="47"/>
      <c r="E498" s="47"/>
      <c r="F498" s="47"/>
      <c r="G498" s="47"/>
      <c r="H498" s="47"/>
      <c r="I498" s="80"/>
      <c r="J498" s="80"/>
      <c r="K498" s="80"/>
      <c r="L498" s="80"/>
      <c r="M498" s="80"/>
      <c r="N498" s="80"/>
      <c r="O498" s="80"/>
      <c r="P498" s="80"/>
      <c r="Q498" s="80"/>
      <c r="R498" s="80"/>
      <c r="S498" s="80"/>
      <c r="T498" s="80"/>
      <c r="U498" s="80"/>
    </row>
    <row r="499" spans="1:21" ht="12.75">
      <c r="A499" s="47"/>
      <c r="B499" s="47"/>
      <c r="C499" s="47"/>
      <c r="D499" s="47"/>
      <c r="E499" s="47"/>
      <c r="F499" s="47"/>
      <c r="G499" s="47"/>
      <c r="H499" s="47"/>
      <c r="I499" s="80"/>
      <c r="J499" s="80"/>
      <c r="K499" s="80"/>
      <c r="L499" s="80"/>
      <c r="M499" s="80"/>
      <c r="N499" s="80"/>
      <c r="O499" s="80"/>
      <c r="P499" s="80"/>
      <c r="Q499" s="80"/>
      <c r="R499" s="80"/>
      <c r="S499" s="80"/>
      <c r="T499" s="80"/>
      <c r="U499" s="80"/>
    </row>
    <row r="500" spans="1:8" ht="12.75">
      <c r="A500" s="47"/>
      <c r="B500" s="47"/>
      <c r="C500" s="47"/>
      <c r="D500" s="47"/>
      <c r="E500" s="47"/>
      <c r="F500" s="47"/>
      <c r="G500" s="47"/>
      <c r="H500" s="47"/>
    </row>
    <row r="501" spans="1:8" ht="12.75">
      <c r="A501" s="47"/>
      <c r="B501" s="47"/>
      <c r="C501" s="47"/>
      <c r="D501" s="47"/>
      <c r="E501" s="47"/>
      <c r="F501" s="47"/>
      <c r="G501" s="47"/>
      <c r="H501" s="47"/>
    </row>
    <row r="502" spans="1:8" ht="12.75">
      <c r="A502" s="47"/>
      <c r="B502" s="47"/>
      <c r="C502" s="47"/>
      <c r="D502" s="47"/>
      <c r="E502" s="47"/>
      <c r="F502" s="47"/>
      <c r="G502" s="47"/>
      <c r="H502" s="47"/>
    </row>
    <row r="503" spans="1:8" ht="12.75">
      <c r="A503" s="47"/>
      <c r="B503" s="47"/>
      <c r="C503" s="47"/>
      <c r="D503" s="47"/>
      <c r="E503" s="47"/>
      <c r="F503" s="47"/>
      <c r="G503" s="47"/>
      <c r="H503" s="47"/>
    </row>
    <row r="504" spans="1:8" ht="12.75">
      <c r="A504" s="47"/>
      <c r="B504" s="47"/>
      <c r="C504" s="47"/>
      <c r="D504" s="47"/>
      <c r="E504" s="47"/>
      <c r="F504" s="47"/>
      <c r="G504" s="47"/>
      <c r="H504" s="47"/>
    </row>
    <row r="505" spans="1:8" ht="12.75">
      <c r="A505" s="47"/>
      <c r="B505" s="47"/>
      <c r="C505" s="47"/>
      <c r="D505" s="47"/>
      <c r="E505" s="47"/>
      <c r="F505" s="47"/>
      <c r="G505" s="47"/>
      <c r="H505" s="47"/>
    </row>
    <row r="506" spans="1:8" ht="12.75">
      <c r="A506" s="47"/>
      <c r="B506" s="47"/>
      <c r="C506" s="47"/>
      <c r="D506" s="47"/>
      <c r="E506" s="47"/>
      <c r="F506" s="47"/>
      <c r="G506" s="47"/>
      <c r="H506" s="47"/>
    </row>
    <row r="507" spans="1:8" ht="12.75">
      <c r="A507" s="47"/>
      <c r="B507" s="47"/>
      <c r="C507" s="47"/>
      <c r="D507" s="47"/>
      <c r="E507" s="47"/>
      <c r="F507" s="47"/>
      <c r="G507" s="47"/>
      <c r="H507" s="47"/>
    </row>
    <row r="508" spans="1:8" ht="12.75">
      <c r="A508" s="47"/>
      <c r="B508" s="47"/>
      <c r="C508" s="47"/>
      <c r="D508" s="47"/>
      <c r="E508" s="47"/>
      <c r="F508" s="47"/>
      <c r="G508" s="47"/>
      <c r="H508" s="47"/>
    </row>
    <row r="509" spans="1:8" ht="12.75">
      <c r="A509" s="47"/>
      <c r="B509" s="47"/>
      <c r="C509" s="47"/>
      <c r="D509" s="47"/>
      <c r="E509" s="47"/>
      <c r="F509" s="47"/>
      <c r="G509" s="47"/>
      <c r="H509" s="47"/>
    </row>
    <row r="510" spans="1:8" ht="12.75">
      <c r="A510" s="47"/>
      <c r="B510" s="47"/>
      <c r="C510" s="47"/>
      <c r="D510" s="47"/>
      <c r="E510" s="47"/>
      <c r="F510" s="47"/>
      <c r="G510" s="47"/>
      <c r="H510" s="47"/>
    </row>
    <row r="511" spans="1:8" ht="12.75">
      <c r="A511" s="47"/>
      <c r="B511" s="47"/>
      <c r="C511" s="47"/>
      <c r="D511" s="47"/>
      <c r="E511" s="47"/>
      <c r="F511" s="47"/>
      <c r="G511" s="47"/>
      <c r="H511" s="47"/>
    </row>
    <row r="512" spans="1:8" ht="12.75">
      <c r="A512" s="47"/>
      <c r="B512" s="47"/>
      <c r="C512" s="47"/>
      <c r="D512" s="47"/>
      <c r="E512" s="47"/>
      <c r="F512" s="47"/>
      <c r="G512" s="47"/>
      <c r="H512" s="47"/>
    </row>
    <row r="513" spans="1:8" ht="12.75">
      <c r="A513" s="47"/>
      <c r="B513" s="47"/>
      <c r="C513" s="47"/>
      <c r="D513" s="47"/>
      <c r="E513" s="47"/>
      <c r="F513" s="47"/>
      <c r="G513" s="47"/>
      <c r="H513" s="47"/>
    </row>
    <row r="514" spans="1:8" ht="12.75">
      <c r="A514" s="47"/>
      <c r="B514" s="47"/>
      <c r="C514" s="47"/>
      <c r="D514" s="47"/>
      <c r="E514" s="47"/>
      <c r="F514" s="47"/>
      <c r="G514" s="47"/>
      <c r="H514" s="47"/>
    </row>
    <row r="515" spans="1:8" ht="12.75">
      <c r="A515" s="47"/>
      <c r="B515" s="47"/>
      <c r="C515" s="47"/>
      <c r="D515" s="47"/>
      <c r="E515" s="47"/>
      <c r="F515" s="47"/>
      <c r="G515" s="47"/>
      <c r="H515" s="47"/>
    </row>
    <row r="516" spans="1:8" ht="12.75">
      <c r="A516" s="47"/>
      <c r="B516" s="47"/>
      <c r="C516" s="47"/>
      <c r="D516" s="47"/>
      <c r="E516" s="47"/>
      <c r="F516" s="47"/>
      <c r="G516" s="47"/>
      <c r="H516" s="47"/>
    </row>
    <row r="517" spans="1:8" ht="12.75">
      <c r="A517" s="47"/>
      <c r="B517" s="47"/>
      <c r="C517" s="47"/>
      <c r="D517" s="47"/>
      <c r="E517" s="47"/>
      <c r="F517" s="47"/>
      <c r="G517" s="47"/>
      <c r="H517" s="47"/>
    </row>
    <row r="518" spans="1:8" ht="12.75">
      <c r="A518" s="47"/>
      <c r="B518" s="47"/>
      <c r="C518" s="47"/>
      <c r="D518" s="47"/>
      <c r="E518" s="47"/>
      <c r="F518" s="47"/>
      <c r="G518" s="47"/>
      <c r="H518" s="47"/>
    </row>
    <row r="519" spans="1:8" ht="12.75">
      <c r="A519" s="47"/>
      <c r="B519" s="47"/>
      <c r="C519" s="47"/>
      <c r="D519" s="47"/>
      <c r="E519" s="47"/>
      <c r="F519" s="47"/>
      <c r="G519" s="47"/>
      <c r="H519" s="47"/>
    </row>
    <row r="520" spans="1:8" ht="12.75">
      <c r="A520" s="47"/>
      <c r="B520" s="47"/>
      <c r="C520" s="47"/>
      <c r="D520" s="47"/>
      <c r="E520" s="47"/>
      <c r="F520" s="47"/>
      <c r="G520" s="47"/>
      <c r="H520" s="47"/>
    </row>
    <row r="521" spans="1:8" ht="12.75">
      <c r="A521" s="47"/>
      <c r="B521" s="47"/>
      <c r="C521" s="47"/>
      <c r="D521" s="47"/>
      <c r="E521" s="47"/>
      <c r="F521" s="47"/>
      <c r="G521" s="47"/>
      <c r="H521" s="47"/>
    </row>
    <row r="522" spans="1:8" ht="12.75">
      <c r="A522" s="47"/>
      <c r="B522" s="47"/>
      <c r="C522" s="47"/>
      <c r="D522" s="47"/>
      <c r="E522" s="47"/>
      <c r="F522" s="47"/>
      <c r="G522" s="47"/>
      <c r="H522" s="47"/>
    </row>
    <row r="523" spans="1:8" ht="12.75">
      <c r="A523" s="47"/>
      <c r="B523" s="47"/>
      <c r="C523" s="47"/>
      <c r="D523" s="47"/>
      <c r="E523" s="47"/>
      <c r="F523" s="47"/>
      <c r="G523" s="47"/>
      <c r="H523" s="47"/>
    </row>
    <row r="524" spans="1:8" ht="12.75">
      <c r="A524" s="47"/>
      <c r="B524" s="47"/>
      <c r="C524" s="47"/>
      <c r="D524" s="47"/>
      <c r="E524" s="47"/>
      <c r="F524" s="47"/>
      <c r="G524" s="47"/>
      <c r="H524" s="47"/>
    </row>
    <row r="525" spans="1:8" ht="12.75">
      <c r="A525" s="47"/>
      <c r="B525" s="47"/>
      <c r="C525" s="47"/>
      <c r="D525" s="47"/>
      <c r="E525" s="47"/>
      <c r="F525" s="47"/>
      <c r="G525" s="47"/>
      <c r="H525" s="47"/>
    </row>
    <row r="526" spans="1:8" ht="12.75">
      <c r="A526" s="47"/>
      <c r="B526" s="47"/>
      <c r="C526" s="47"/>
      <c r="D526" s="47"/>
      <c r="E526" s="47"/>
      <c r="F526" s="47"/>
      <c r="G526" s="47"/>
      <c r="H526" s="47"/>
    </row>
    <row r="527" spans="1:8" ht="12.75">
      <c r="A527" s="47"/>
      <c r="B527" s="47"/>
      <c r="C527" s="47"/>
      <c r="D527" s="47"/>
      <c r="E527" s="47"/>
      <c r="F527" s="47"/>
      <c r="G527" s="47"/>
      <c r="H527" s="47"/>
    </row>
    <row r="528" spans="1:8" ht="12.75">
      <c r="A528" s="47"/>
      <c r="B528" s="47"/>
      <c r="C528" s="47"/>
      <c r="D528" s="47"/>
      <c r="E528" s="47"/>
      <c r="F528" s="47"/>
      <c r="G528" s="47"/>
      <c r="H528" s="47"/>
    </row>
    <row r="529" spans="1:8" ht="12.75">
      <c r="A529" s="47"/>
      <c r="B529" s="47"/>
      <c r="C529" s="47"/>
      <c r="D529" s="47"/>
      <c r="E529" s="47"/>
      <c r="F529" s="47"/>
      <c r="G529" s="47"/>
      <c r="H529" s="47"/>
    </row>
    <row r="530" spans="1:8" ht="12.75">
      <c r="A530" s="47"/>
      <c r="B530" s="47"/>
      <c r="C530" s="47"/>
      <c r="D530" s="47"/>
      <c r="E530" s="47"/>
      <c r="F530" s="47"/>
      <c r="G530" s="47"/>
      <c r="H530" s="47"/>
    </row>
    <row r="531" spans="1:8" ht="12.75">
      <c r="A531" s="47"/>
      <c r="B531" s="47"/>
      <c r="C531" s="47"/>
      <c r="D531" s="47"/>
      <c r="E531" s="47"/>
      <c r="F531" s="47"/>
      <c r="G531" s="47"/>
      <c r="H531" s="47"/>
    </row>
    <row r="532" spans="1:8" ht="12.75">
      <c r="A532" s="47"/>
      <c r="B532" s="47"/>
      <c r="C532" s="47"/>
      <c r="D532" s="47"/>
      <c r="E532" s="47"/>
      <c r="F532" s="47"/>
      <c r="G532" s="47"/>
      <c r="H532" s="47"/>
    </row>
    <row r="533" spans="1:8" ht="12.75">
      <c r="A533" s="47"/>
      <c r="B533" s="47"/>
      <c r="C533" s="47"/>
      <c r="D533" s="47"/>
      <c r="E533" s="47"/>
      <c r="F533" s="47"/>
      <c r="G533" s="47"/>
      <c r="H533" s="47"/>
    </row>
    <row r="534" spans="1:8" ht="12.75">
      <c r="A534" s="47"/>
      <c r="B534" s="47"/>
      <c r="C534" s="47"/>
      <c r="D534" s="47"/>
      <c r="E534" s="47"/>
      <c r="F534" s="47"/>
      <c r="G534" s="47"/>
      <c r="H534" s="47"/>
    </row>
    <row r="535" spans="1:8" ht="12.75">
      <c r="A535" s="47"/>
      <c r="B535" s="47"/>
      <c r="C535" s="47"/>
      <c r="D535" s="47"/>
      <c r="E535" s="47"/>
      <c r="F535" s="47"/>
      <c r="G535" s="47"/>
      <c r="H535" s="47"/>
    </row>
    <row r="536" spans="1:8" ht="12.75">
      <c r="A536" s="47"/>
      <c r="B536" s="47"/>
      <c r="C536" s="47"/>
      <c r="D536" s="47"/>
      <c r="E536" s="47"/>
      <c r="F536" s="47"/>
      <c r="G536" s="47"/>
      <c r="H536" s="47"/>
    </row>
    <row r="537" spans="1:8" ht="12.75">
      <c r="A537" s="47"/>
      <c r="B537" s="47"/>
      <c r="C537" s="47"/>
      <c r="D537" s="47"/>
      <c r="E537" s="47"/>
      <c r="F537" s="47"/>
      <c r="G537" s="47"/>
      <c r="H537" s="47"/>
    </row>
    <row r="538" spans="1:8" ht="12.75">
      <c r="A538" s="47"/>
      <c r="B538" s="47"/>
      <c r="C538" s="47"/>
      <c r="D538" s="47"/>
      <c r="E538" s="47"/>
      <c r="F538" s="47"/>
      <c r="G538" s="47"/>
      <c r="H538" s="47"/>
    </row>
    <row r="539" spans="1:8" ht="12.75">
      <c r="A539" s="47"/>
      <c r="B539" s="47"/>
      <c r="C539" s="47"/>
      <c r="D539" s="47"/>
      <c r="E539" s="47"/>
      <c r="F539" s="47"/>
      <c r="G539" s="47"/>
      <c r="H539" s="47"/>
    </row>
    <row r="540" spans="1:8" ht="12.75">
      <c r="A540" s="47"/>
      <c r="B540" s="47"/>
      <c r="C540" s="47"/>
      <c r="D540" s="47"/>
      <c r="E540" s="47"/>
      <c r="F540" s="47"/>
      <c r="G540" s="47"/>
      <c r="H540" s="47"/>
    </row>
    <row r="541" spans="1:8" ht="12.75">
      <c r="A541" s="47"/>
      <c r="B541" s="47"/>
      <c r="C541" s="47"/>
      <c r="D541" s="47"/>
      <c r="E541" s="47"/>
      <c r="F541" s="47"/>
      <c r="G541" s="47"/>
      <c r="H541" s="47"/>
    </row>
    <row r="542" spans="1:8" ht="12.75">
      <c r="A542" s="47"/>
      <c r="B542" s="47"/>
      <c r="C542" s="47"/>
      <c r="D542" s="47"/>
      <c r="E542" s="47"/>
      <c r="F542" s="47"/>
      <c r="G542" s="47"/>
      <c r="H542" s="47"/>
    </row>
    <row r="543" spans="1:8" ht="12.75">
      <c r="A543" s="47"/>
      <c r="B543" s="47"/>
      <c r="C543" s="47"/>
      <c r="D543" s="47"/>
      <c r="E543" s="47"/>
      <c r="F543" s="47"/>
      <c r="G543" s="47"/>
      <c r="H543" s="47"/>
    </row>
    <row r="544" spans="1:8" ht="12.75">
      <c r="A544" s="47"/>
      <c r="B544" s="47"/>
      <c r="C544" s="47"/>
      <c r="D544" s="47"/>
      <c r="E544" s="47"/>
      <c r="F544" s="47"/>
      <c r="G544" s="47"/>
      <c r="H544" s="47"/>
    </row>
    <row r="545" spans="1:8" ht="12.75">
      <c r="A545" s="47"/>
      <c r="B545" s="47"/>
      <c r="C545" s="47"/>
      <c r="D545" s="47"/>
      <c r="E545" s="47"/>
      <c r="F545" s="47"/>
      <c r="G545" s="47"/>
      <c r="H545" s="47"/>
    </row>
    <row r="546" spans="1:8" ht="12.75">
      <c r="A546" s="47"/>
      <c r="B546" s="47"/>
      <c r="C546" s="47"/>
      <c r="D546" s="47"/>
      <c r="E546" s="47"/>
      <c r="F546" s="47"/>
      <c r="G546" s="47"/>
      <c r="H546" s="47"/>
    </row>
    <row r="547" spans="1:8" ht="12.75">
      <c r="A547" s="47"/>
      <c r="B547" s="47"/>
      <c r="C547" s="47"/>
      <c r="D547" s="47"/>
      <c r="E547" s="47"/>
      <c r="F547" s="47"/>
      <c r="G547" s="47"/>
      <c r="H547" s="47"/>
    </row>
    <row r="548" spans="1:8" ht="12.75">
      <c r="A548" s="47"/>
      <c r="B548" s="47"/>
      <c r="C548" s="47"/>
      <c r="D548" s="47"/>
      <c r="E548" s="47"/>
      <c r="F548" s="47"/>
      <c r="G548" s="47"/>
      <c r="H548" s="47"/>
    </row>
    <row r="549" spans="1:8" ht="12.75">
      <c r="A549" s="47"/>
      <c r="B549" s="47"/>
      <c r="C549" s="47"/>
      <c r="D549" s="47"/>
      <c r="E549" s="47"/>
      <c r="F549" s="47"/>
      <c r="G549" s="47"/>
      <c r="H549" s="47"/>
    </row>
    <row r="550" spans="1:8" ht="12.75">
      <c r="A550" s="47"/>
      <c r="B550" s="47"/>
      <c r="C550" s="47"/>
      <c r="D550" s="47"/>
      <c r="E550" s="47"/>
      <c r="F550" s="47"/>
      <c r="G550" s="47"/>
      <c r="H550" s="47"/>
    </row>
    <row r="551" spans="1:8" ht="12.75">
      <c r="A551" s="47"/>
      <c r="B551" s="47"/>
      <c r="C551" s="47"/>
      <c r="D551" s="47"/>
      <c r="E551" s="47"/>
      <c r="F551" s="47"/>
      <c r="G551" s="47"/>
      <c r="H551" s="47"/>
    </row>
    <row r="552" spans="1:8" ht="12.75">
      <c r="A552" s="47"/>
      <c r="B552" s="47"/>
      <c r="C552" s="47"/>
      <c r="D552" s="47"/>
      <c r="E552" s="47"/>
      <c r="F552" s="47"/>
      <c r="G552" s="47"/>
      <c r="H552" s="47"/>
    </row>
    <row r="553" spans="1:8" ht="12.75">
      <c r="A553" s="47"/>
      <c r="B553" s="47"/>
      <c r="C553" s="47"/>
      <c r="D553" s="47"/>
      <c r="E553" s="47"/>
      <c r="F553" s="47"/>
      <c r="G553" s="47"/>
      <c r="H553" s="47"/>
    </row>
    <row r="554" spans="1:8" ht="12.75">
      <c r="A554" s="47"/>
      <c r="B554" s="47"/>
      <c r="C554" s="47"/>
      <c r="D554" s="47"/>
      <c r="E554" s="47"/>
      <c r="F554" s="47"/>
      <c r="G554" s="47"/>
      <c r="H554" s="47"/>
    </row>
    <row r="555" spans="1:8" ht="12.75">
      <c r="A555" s="47"/>
      <c r="B555" s="47"/>
      <c r="C555" s="47"/>
      <c r="D555" s="47"/>
      <c r="E555" s="47"/>
      <c r="F555" s="47"/>
      <c r="G555" s="47"/>
      <c r="H555" s="47"/>
    </row>
    <row r="556" spans="1:8" ht="12.75">
      <c r="A556" s="47"/>
      <c r="B556" s="47"/>
      <c r="C556" s="47"/>
      <c r="D556" s="47"/>
      <c r="E556" s="47"/>
      <c r="F556" s="47"/>
      <c r="G556" s="47"/>
      <c r="H556" s="47"/>
    </row>
    <row r="557" spans="1:8" ht="12.75">
      <c r="A557" s="47"/>
      <c r="B557" s="47"/>
      <c r="C557" s="47"/>
      <c r="D557" s="47"/>
      <c r="E557" s="47"/>
      <c r="F557" s="47"/>
      <c r="G557" s="47"/>
      <c r="H557" s="47"/>
    </row>
    <row r="558" spans="1:8" ht="12.75">
      <c r="A558" s="47"/>
      <c r="B558" s="47"/>
      <c r="C558" s="47"/>
      <c r="D558" s="47"/>
      <c r="E558" s="47"/>
      <c r="F558" s="47"/>
      <c r="G558" s="47"/>
      <c r="H558" s="47"/>
    </row>
    <row r="559" spans="1:8" ht="12.75">
      <c r="A559" s="47"/>
      <c r="B559" s="47"/>
      <c r="C559" s="47"/>
      <c r="D559" s="47"/>
      <c r="E559" s="47"/>
      <c r="F559" s="47"/>
      <c r="G559" s="47"/>
      <c r="H559" s="47"/>
    </row>
    <row r="560" spans="1:8" ht="12.75">
      <c r="A560" s="47"/>
      <c r="B560" s="47"/>
      <c r="C560" s="47"/>
      <c r="D560" s="47"/>
      <c r="E560" s="47"/>
      <c r="F560" s="47"/>
      <c r="G560" s="47"/>
      <c r="H560" s="47"/>
    </row>
    <row r="561" spans="1:8" ht="12.75">
      <c r="A561" s="47"/>
      <c r="B561" s="47"/>
      <c r="C561" s="47"/>
      <c r="D561" s="47"/>
      <c r="E561" s="47"/>
      <c r="F561" s="47"/>
      <c r="G561" s="47"/>
      <c r="H561" s="47"/>
    </row>
    <row r="562" spans="1:8" ht="12.75">
      <c r="A562" s="47"/>
      <c r="B562" s="47"/>
      <c r="C562" s="47"/>
      <c r="D562" s="47"/>
      <c r="E562" s="47"/>
      <c r="F562" s="47"/>
      <c r="G562" s="47"/>
      <c r="H562" s="47"/>
    </row>
    <row r="563" spans="1:8" ht="12.75">
      <c r="A563" s="47"/>
      <c r="B563" s="47"/>
      <c r="C563" s="47"/>
      <c r="D563" s="47"/>
      <c r="E563" s="47"/>
      <c r="F563" s="47"/>
      <c r="G563" s="47"/>
      <c r="H563" s="47"/>
    </row>
    <row r="564" spans="1:8" ht="12.75">
      <c r="A564" s="47"/>
      <c r="B564" s="47"/>
      <c r="C564" s="47"/>
      <c r="D564" s="47"/>
      <c r="E564" s="47"/>
      <c r="F564" s="47"/>
      <c r="G564" s="47"/>
      <c r="H564" s="47"/>
    </row>
    <row r="565" spans="1:8" ht="12.75">
      <c r="A565" s="47"/>
      <c r="B565" s="47"/>
      <c r="C565" s="47"/>
      <c r="D565" s="47"/>
      <c r="E565" s="47"/>
      <c r="F565" s="47"/>
      <c r="G565" s="47"/>
      <c r="H565" s="47"/>
    </row>
    <row r="566" spans="1:8" ht="12.75">
      <c r="A566" s="47"/>
      <c r="B566" s="47"/>
      <c r="C566" s="47"/>
      <c r="D566" s="47"/>
      <c r="E566" s="47"/>
      <c r="F566" s="47"/>
      <c r="G566" s="47"/>
      <c r="H566" s="47"/>
    </row>
    <row r="567" spans="1:8" ht="12.75">
      <c r="A567" s="47"/>
      <c r="B567" s="47"/>
      <c r="C567" s="47"/>
      <c r="D567" s="47"/>
      <c r="E567" s="47"/>
      <c r="F567" s="47"/>
      <c r="G567" s="47"/>
      <c r="H567" s="47"/>
    </row>
    <row r="568" spans="1:8" ht="12.75">
      <c r="A568" s="47"/>
      <c r="B568" s="47"/>
      <c r="C568" s="47"/>
      <c r="D568" s="47"/>
      <c r="E568" s="47"/>
      <c r="F568" s="47"/>
      <c r="G568" s="47"/>
      <c r="H568" s="47"/>
    </row>
    <row r="569" spans="1:8" ht="12.75">
      <c r="A569" s="47"/>
      <c r="B569" s="47"/>
      <c r="C569" s="47"/>
      <c r="D569" s="47"/>
      <c r="E569" s="47"/>
      <c r="F569" s="47"/>
      <c r="G569" s="47"/>
      <c r="H569" s="47"/>
    </row>
    <row r="570" spans="1:8" ht="12.75">
      <c r="A570" s="47"/>
      <c r="B570" s="47"/>
      <c r="C570" s="47"/>
      <c r="D570" s="47"/>
      <c r="E570" s="47"/>
      <c r="F570" s="47"/>
      <c r="G570" s="47"/>
      <c r="H570" s="47"/>
    </row>
    <row r="571" spans="1:8" ht="12.75">
      <c r="A571" s="47"/>
      <c r="B571" s="47"/>
      <c r="C571" s="47"/>
      <c r="D571" s="47"/>
      <c r="E571" s="47"/>
      <c r="F571" s="47"/>
      <c r="G571" s="47"/>
      <c r="H571" s="47"/>
    </row>
    <row r="572" spans="1:8" ht="12.75">
      <c r="A572" s="47"/>
      <c r="B572" s="47"/>
      <c r="C572" s="47"/>
      <c r="D572" s="47"/>
      <c r="E572" s="47"/>
      <c r="F572" s="47"/>
      <c r="G572" s="47"/>
      <c r="H572" s="47"/>
    </row>
    <row r="573" spans="1:8" ht="12.75">
      <c r="A573" s="47"/>
      <c r="B573" s="47"/>
      <c r="C573" s="47"/>
      <c r="D573" s="47"/>
      <c r="E573" s="47"/>
      <c r="F573" s="47"/>
      <c r="G573" s="47"/>
      <c r="H573" s="47"/>
    </row>
    <row r="574" spans="1:8" ht="12.75">
      <c r="A574" s="47"/>
      <c r="B574" s="47"/>
      <c r="C574" s="47"/>
      <c r="D574" s="47"/>
      <c r="E574" s="47"/>
      <c r="F574" s="47"/>
      <c r="G574" s="47"/>
      <c r="H574" s="47"/>
    </row>
    <row r="575" spans="1:8" ht="12.75">
      <c r="A575" s="47"/>
      <c r="B575" s="47"/>
      <c r="C575" s="47"/>
      <c r="D575" s="47"/>
      <c r="E575" s="47"/>
      <c r="F575" s="47"/>
      <c r="G575" s="47"/>
      <c r="H575" s="47"/>
    </row>
    <row r="576" spans="1:8" ht="12.75">
      <c r="A576" s="47"/>
      <c r="B576" s="47"/>
      <c r="C576" s="47"/>
      <c r="D576" s="47"/>
      <c r="E576" s="47"/>
      <c r="F576" s="47"/>
      <c r="G576" s="47"/>
      <c r="H576" s="47"/>
    </row>
    <row r="577" spans="1:8" ht="12.75">
      <c r="A577" s="47"/>
      <c r="B577" s="47"/>
      <c r="C577" s="47"/>
      <c r="D577" s="47"/>
      <c r="E577" s="47"/>
      <c r="F577" s="47"/>
      <c r="G577" s="47"/>
      <c r="H577" s="47"/>
    </row>
    <row r="578" spans="1:8" ht="12.75">
      <c r="A578" s="47"/>
      <c r="B578" s="47"/>
      <c r="C578" s="47"/>
      <c r="D578" s="47"/>
      <c r="E578" s="47"/>
      <c r="F578" s="47"/>
      <c r="G578" s="47"/>
      <c r="H578" s="47"/>
    </row>
    <row r="579" spans="1:8" ht="12.75">
      <c r="A579" s="47"/>
      <c r="B579" s="47"/>
      <c r="C579" s="47"/>
      <c r="D579" s="47"/>
      <c r="E579" s="47"/>
      <c r="F579" s="47"/>
      <c r="G579" s="47"/>
      <c r="H579" s="47"/>
    </row>
    <row r="580" spans="1:8" ht="12.75">
      <c r="A580" s="47"/>
      <c r="B580" s="47"/>
      <c r="C580" s="47"/>
      <c r="D580" s="47"/>
      <c r="E580" s="47"/>
      <c r="F580" s="47"/>
      <c r="G580" s="47"/>
      <c r="H580" s="47"/>
    </row>
    <row r="581" spans="1:8" ht="12.75">
      <c r="A581" s="47"/>
      <c r="B581" s="47"/>
      <c r="C581" s="47"/>
      <c r="D581" s="47"/>
      <c r="E581" s="47"/>
      <c r="F581" s="47"/>
      <c r="G581" s="47"/>
      <c r="H581" s="47"/>
    </row>
    <row r="582" spans="1:8" ht="12.75">
      <c r="A582" s="47"/>
      <c r="B582" s="47"/>
      <c r="C582" s="47"/>
      <c r="D582" s="47"/>
      <c r="E582" s="47"/>
      <c r="F582" s="47"/>
      <c r="G582" s="47"/>
      <c r="H582" s="47"/>
    </row>
    <row r="583" spans="1:8" ht="12.75">
      <c r="A583" s="47"/>
      <c r="B583" s="47"/>
      <c r="C583" s="47"/>
      <c r="D583" s="47"/>
      <c r="E583" s="47"/>
      <c r="F583" s="47"/>
      <c r="G583" s="47"/>
      <c r="H583" s="47"/>
    </row>
    <row r="584" spans="1:8" ht="12.75">
      <c r="A584" s="47"/>
      <c r="B584" s="47"/>
      <c r="C584" s="47"/>
      <c r="D584" s="47"/>
      <c r="E584" s="47"/>
      <c r="F584" s="47"/>
      <c r="G584" s="47"/>
      <c r="H584" s="47"/>
    </row>
    <row r="585" spans="1:8" ht="12.75">
      <c r="A585" s="47"/>
      <c r="B585" s="47"/>
      <c r="C585" s="47"/>
      <c r="D585" s="47"/>
      <c r="E585" s="47"/>
      <c r="F585" s="47"/>
      <c r="G585" s="47"/>
      <c r="H585" s="47"/>
    </row>
    <row r="586" spans="1:8" ht="12.75">
      <c r="A586" s="47"/>
      <c r="B586" s="47"/>
      <c r="C586" s="47"/>
      <c r="D586" s="47"/>
      <c r="E586" s="47"/>
      <c r="F586" s="47"/>
      <c r="G586" s="47"/>
      <c r="H586" s="47"/>
    </row>
    <row r="587" spans="1:8" ht="12.75">
      <c r="A587" s="47"/>
      <c r="B587" s="47"/>
      <c r="C587" s="47"/>
      <c r="D587" s="47"/>
      <c r="E587" s="47"/>
      <c r="F587" s="47"/>
      <c r="G587" s="47"/>
      <c r="H587" s="47"/>
    </row>
    <row r="588" spans="1:8" ht="12.75">
      <c r="A588" s="47"/>
      <c r="B588" s="47"/>
      <c r="C588" s="47"/>
      <c r="D588" s="47"/>
      <c r="E588" s="47"/>
      <c r="F588" s="47"/>
      <c r="G588" s="47"/>
      <c r="H588" s="47"/>
    </row>
    <row r="589" spans="1:8" ht="12.75">
      <c r="A589" s="47"/>
      <c r="B589" s="47"/>
      <c r="C589" s="47"/>
      <c r="D589" s="47"/>
      <c r="E589" s="47"/>
      <c r="F589" s="47"/>
      <c r="G589" s="47"/>
      <c r="H589" s="47"/>
    </row>
    <row r="590" spans="1:8" ht="12.75">
      <c r="A590" s="47"/>
      <c r="B590" s="47"/>
      <c r="C590" s="47"/>
      <c r="D590" s="47"/>
      <c r="E590" s="47"/>
      <c r="F590" s="47"/>
      <c r="G590" s="47"/>
      <c r="H590" s="47"/>
    </row>
    <row r="591" spans="1:8" ht="12.75">
      <c r="A591" s="47"/>
      <c r="B591" s="47"/>
      <c r="C591" s="47"/>
      <c r="D591" s="47"/>
      <c r="E591" s="47"/>
      <c r="F591" s="47"/>
      <c r="G591" s="47"/>
      <c r="H591" s="47"/>
    </row>
    <row r="592" spans="1:8" ht="12.75">
      <c r="A592" s="47"/>
      <c r="B592" s="47"/>
      <c r="C592" s="47"/>
      <c r="D592" s="47"/>
      <c r="E592" s="47"/>
      <c r="F592" s="47"/>
      <c r="G592" s="47"/>
      <c r="H592" s="47"/>
    </row>
    <row r="593" spans="1:8" ht="12.75">
      <c r="A593" s="47"/>
      <c r="B593" s="47"/>
      <c r="C593" s="47"/>
      <c r="D593" s="47"/>
      <c r="E593" s="47"/>
      <c r="F593" s="47"/>
      <c r="G593" s="47"/>
      <c r="H593" s="47"/>
    </row>
    <row r="594" spans="1:8" ht="12.75">
      <c r="A594" s="47"/>
      <c r="B594" s="47"/>
      <c r="C594" s="47"/>
      <c r="D594" s="47"/>
      <c r="E594" s="47"/>
      <c r="F594" s="47"/>
      <c r="G594" s="47"/>
      <c r="H594" s="47"/>
    </row>
    <row r="595" spans="1:8" ht="12.75">
      <c r="A595" s="47"/>
      <c r="B595" s="47"/>
      <c r="C595" s="47"/>
      <c r="D595" s="47"/>
      <c r="E595" s="47"/>
      <c r="F595" s="47"/>
      <c r="G595" s="47"/>
      <c r="H595" s="47"/>
    </row>
    <row r="596" spans="1:8" ht="12.75">
      <c r="A596" s="47"/>
      <c r="B596" s="47"/>
      <c r="C596" s="47"/>
      <c r="D596" s="47"/>
      <c r="E596" s="47"/>
      <c r="F596" s="47"/>
      <c r="G596" s="47"/>
      <c r="H596" s="47"/>
    </row>
    <row r="597" spans="1:8" ht="12.75">
      <c r="A597" s="47"/>
      <c r="B597" s="47"/>
      <c r="C597" s="47"/>
      <c r="D597" s="47"/>
      <c r="E597" s="47"/>
      <c r="F597" s="47"/>
      <c r="G597" s="47"/>
      <c r="H597" s="47"/>
    </row>
    <row r="598" spans="1:8" ht="12.75">
      <c r="A598" s="47"/>
      <c r="B598" s="47"/>
      <c r="C598" s="47"/>
      <c r="D598" s="47"/>
      <c r="E598" s="47"/>
      <c r="F598" s="47"/>
      <c r="G598" s="47"/>
      <c r="H598" s="47"/>
    </row>
    <row r="599" spans="1:8" ht="12.75">
      <c r="A599" s="47"/>
      <c r="B599" s="47"/>
      <c r="C599" s="47"/>
      <c r="D599" s="47"/>
      <c r="E599" s="47"/>
      <c r="F599" s="47"/>
      <c r="G599" s="47"/>
      <c r="H599" s="47"/>
    </row>
    <row r="600" spans="1:8" ht="12.75">
      <c r="A600" s="47"/>
      <c r="B600" s="47"/>
      <c r="C600" s="47"/>
      <c r="D600" s="47"/>
      <c r="E600" s="47"/>
      <c r="F600" s="47"/>
      <c r="G600" s="47"/>
      <c r="H600" s="47"/>
    </row>
    <row r="601" spans="1:8" ht="12.75">
      <c r="A601" s="47"/>
      <c r="B601" s="47"/>
      <c r="C601" s="47"/>
      <c r="D601" s="47"/>
      <c r="E601" s="47"/>
      <c r="F601" s="47"/>
      <c r="G601" s="47"/>
      <c r="H601" s="47"/>
    </row>
    <row r="602" spans="1:8" ht="12.75">
      <c r="A602" s="47"/>
      <c r="B602" s="47"/>
      <c r="C602" s="47"/>
      <c r="D602" s="47"/>
      <c r="E602" s="47"/>
      <c r="F602" s="47"/>
      <c r="G602" s="47"/>
      <c r="H602" s="47"/>
    </row>
    <row r="603" spans="1:8" ht="12.75">
      <c r="A603" s="47"/>
      <c r="B603" s="47"/>
      <c r="C603" s="47"/>
      <c r="D603" s="47"/>
      <c r="E603" s="47"/>
      <c r="F603" s="47"/>
      <c r="G603" s="47"/>
      <c r="H603" s="47"/>
    </row>
    <row r="604" spans="1:8" ht="12.75">
      <c r="A604" s="47"/>
      <c r="B604" s="47"/>
      <c r="C604" s="47"/>
      <c r="D604" s="47"/>
      <c r="E604" s="47"/>
      <c r="F604" s="47"/>
      <c r="G604" s="47"/>
      <c r="H604" s="47"/>
    </row>
    <row r="605" spans="1:8" ht="12.75">
      <c r="A605" s="47"/>
      <c r="B605" s="47"/>
      <c r="C605" s="47"/>
      <c r="D605" s="47"/>
      <c r="E605" s="47"/>
      <c r="F605" s="47"/>
      <c r="G605" s="47"/>
      <c r="H605" s="47"/>
    </row>
    <row r="606" spans="1:8" ht="12.75">
      <c r="A606" s="47"/>
      <c r="B606" s="47"/>
      <c r="C606" s="47"/>
      <c r="D606" s="47"/>
      <c r="E606" s="47"/>
      <c r="F606" s="47"/>
      <c r="G606" s="47"/>
      <c r="H606" s="47"/>
    </row>
    <row r="607" spans="1:8" ht="12.75">
      <c r="A607" s="47"/>
      <c r="B607" s="47"/>
      <c r="C607" s="47"/>
      <c r="D607" s="47"/>
      <c r="E607" s="47"/>
      <c r="F607" s="47"/>
      <c r="G607" s="47"/>
      <c r="H607" s="47"/>
    </row>
    <row r="608" spans="1:8" ht="12.75">
      <c r="A608" s="47"/>
      <c r="B608" s="47"/>
      <c r="C608" s="47"/>
      <c r="D608" s="47"/>
      <c r="E608" s="47"/>
      <c r="F608" s="47"/>
      <c r="G608" s="47"/>
      <c r="H608" s="47"/>
    </row>
    <row r="609" spans="1:8" ht="12.75">
      <c r="A609" s="47"/>
      <c r="B609" s="47"/>
      <c r="C609" s="47"/>
      <c r="D609" s="47"/>
      <c r="E609" s="47"/>
      <c r="F609" s="47"/>
      <c r="G609" s="47"/>
      <c r="H609" s="47"/>
    </row>
    <row r="610" spans="1:8" ht="12.75">
      <c r="A610" s="47"/>
      <c r="B610" s="47"/>
      <c r="C610" s="47"/>
      <c r="D610" s="47"/>
      <c r="E610" s="47"/>
      <c r="F610" s="47"/>
      <c r="G610" s="47"/>
      <c r="H610" s="47"/>
    </row>
    <row r="611" spans="1:8" ht="12.75">
      <c r="A611" s="47"/>
      <c r="B611" s="47"/>
      <c r="C611" s="47"/>
      <c r="D611" s="47"/>
      <c r="E611" s="47"/>
      <c r="F611" s="47"/>
      <c r="G611" s="47"/>
      <c r="H611" s="47"/>
    </row>
    <row r="612" spans="1:8" ht="12.75">
      <c r="A612" s="47"/>
      <c r="B612" s="47"/>
      <c r="C612" s="47"/>
      <c r="D612" s="47"/>
      <c r="E612" s="47"/>
      <c r="F612" s="47"/>
      <c r="G612" s="47"/>
      <c r="H612" s="47"/>
    </row>
    <row r="613" spans="1:8" ht="12.75">
      <c r="A613" s="47"/>
      <c r="B613" s="47"/>
      <c r="C613" s="47"/>
      <c r="D613" s="47"/>
      <c r="E613" s="47"/>
      <c r="F613" s="47"/>
      <c r="G613" s="47"/>
      <c r="H613" s="47"/>
    </row>
    <row r="614" spans="1:8" ht="12.75">
      <c r="A614" s="47"/>
      <c r="B614" s="47"/>
      <c r="C614" s="47"/>
      <c r="D614" s="47"/>
      <c r="E614" s="47"/>
      <c r="F614" s="47"/>
      <c r="G614" s="47"/>
      <c r="H614" s="47"/>
    </row>
    <row r="615" spans="1:8" ht="12.75">
      <c r="A615" s="47"/>
      <c r="B615" s="47"/>
      <c r="C615" s="47"/>
      <c r="D615" s="47"/>
      <c r="E615" s="47"/>
      <c r="F615" s="47"/>
      <c r="G615" s="47"/>
      <c r="H615" s="47"/>
    </row>
    <row r="616" spans="1:8" ht="12.75">
      <c r="A616" s="47"/>
      <c r="B616" s="47"/>
      <c r="C616" s="47"/>
      <c r="D616" s="47"/>
      <c r="E616" s="47"/>
      <c r="F616" s="47"/>
      <c r="G616" s="47"/>
      <c r="H616" s="47"/>
    </row>
    <row r="617" spans="1:8" ht="12.75">
      <c r="A617" s="47"/>
      <c r="B617" s="47"/>
      <c r="C617" s="47"/>
      <c r="D617" s="47"/>
      <c r="E617" s="47"/>
      <c r="F617" s="47"/>
      <c r="G617" s="47"/>
      <c r="H617" s="47"/>
    </row>
    <row r="618" spans="1:8" ht="12.75">
      <c r="A618" s="47"/>
      <c r="B618" s="47"/>
      <c r="C618" s="47"/>
      <c r="D618" s="47"/>
      <c r="E618" s="47"/>
      <c r="F618" s="47"/>
      <c r="G618" s="47"/>
      <c r="H618" s="47"/>
    </row>
    <row r="619" spans="1:8" ht="12.75">
      <c r="A619" s="47"/>
      <c r="B619" s="47"/>
      <c r="C619" s="47"/>
      <c r="D619" s="47"/>
      <c r="E619" s="47"/>
      <c r="F619" s="47"/>
      <c r="G619" s="47"/>
      <c r="H619" s="47"/>
    </row>
    <row r="620" spans="1:8" ht="12.75">
      <c r="A620" s="47"/>
      <c r="B620" s="47"/>
      <c r="C620" s="47"/>
      <c r="D620" s="47"/>
      <c r="E620" s="47"/>
      <c r="F620" s="47"/>
      <c r="G620" s="47"/>
      <c r="H620" s="47"/>
    </row>
    <row r="621" spans="1:8" ht="12.75">
      <c r="A621" s="47"/>
      <c r="B621" s="47"/>
      <c r="C621" s="47"/>
      <c r="D621" s="47"/>
      <c r="E621" s="47"/>
      <c r="F621" s="47"/>
      <c r="G621" s="47"/>
      <c r="H621" s="47"/>
    </row>
    <row r="622" spans="1:8" ht="12.75">
      <c r="A622" s="47"/>
      <c r="B622" s="47"/>
      <c r="C622" s="47"/>
      <c r="D622" s="47"/>
      <c r="E622" s="47"/>
      <c r="F622" s="47"/>
      <c r="G622" s="47"/>
      <c r="H622" s="47"/>
    </row>
    <row r="623" spans="1:8" ht="12.75">
      <c r="A623" s="47"/>
      <c r="B623" s="47"/>
      <c r="C623" s="47"/>
      <c r="D623" s="47"/>
      <c r="E623" s="47"/>
      <c r="F623" s="47"/>
      <c r="G623" s="47"/>
      <c r="H623" s="47"/>
    </row>
    <row r="624" spans="1:8" ht="12.75">
      <c r="A624" s="47"/>
      <c r="B624" s="47"/>
      <c r="C624" s="47"/>
      <c r="D624" s="47"/>
      <c r="E624" s="47"/>
      <c r="F624" s="47"/>
      <c r="G624" s="47"/>
      <c r="H624" s="47"/>
    </row>
    <row r="625" spans="1:8" ht="12.75">
      <c r="A625" s="47"/>
      <c r="B625" s="47"/>
      <c r="C625" s="47"/>
      <c r="D625" s="47"/>
      <c r="E625" s="47"/>
      <c r="F625" s="47"/>
      <c r="G625" s="47"/>
      <c r="H625" s="47"/>
    </row>
    <row r="626" spans="1:8" ht="12.75">
      <c r="A626" s="47"/>
      <c r="B626" s="47"/>
      <c r="C626" s="47"/>
      <c r="D626" s="47"/>
      <c r="E626" s="47"/>
      <c r="F626" s="47"/>
      <c r="G626" s="47"/>
      <c r="H626" s="47"/>
    </row>
    <row r="627" spans="1:8" ht="12.75">
      <c r="A627" s="47"/>
      <c r="B627" s="47"/>
      <c r="C627" s="47"/>
      <c r="D627" s="47"/>
      <c r="E627" s="47"/>
      <c r="F627" s="47"/>
      <c r="G627" s="47"/>
      <c r="H627" s="47"/>
    </row>
    <row r="628" spans="1:8" ht="12.75">
      <c r="A628" s="47"/>
      <c r="B628" s="47"/>
      <c r="C628" s="47"/>
      <c r="D628" s="47"/>
      <c r="E628" s="47"/>
      <c r="F628" s="47"/>
      <c r="G628" s="47"/>
      <c r="H628" s="47"/>
    </row>
    <row r="629" spans="1:8" ht="12.75">
      <c r="A629" s="47"/>
      <c r="B629" s="47"/>
      <c r="C629" s="47"/>
      <c r="D629" s="47"/>
      <c r="E629" s="47"/>
      <c r="F629" s="47"/>
      <c r="G629" s="47"/>
      <c r="H629" s="47"/>
    </row>
    <row r="630" spans="1:8" ht="12.75">
      <c r="A630" s="47"/>
      <c r="B630" s="47"/>
      <c r="C630" s="47"/>
      <c r="D630" s="47"/>
      <c r="E630" s="47"/>
      <c r="F630" s="47"/>
      <c r="G630" s="47"/>
      <c r="H630" s="47"/>
    </row>
    <row r="631" spans="1:8" ht="12.75">
      <c r="A631" s="47"/>
      <c r="B631" s="47"/>
      <c r="C631" s="47"/>
      <c r="D631" s="47"/>
      <c r="E631" s="47"/>
      <c r="F631" s="47"/>
      <c r="G631" s="47"/>
      <c r="H631" s="47"/>
    </row>
    <row r="632" spans="1:8" ht="12.75">
      <c r="A632" s="47"/>
      <c r="B632" s="47"/>
      <c r="C632" s="47"/>
      <c r="D632" s="47"/>
      <c r="E632" s="47"/>
      <c r="F632" s="47"/>
      <c r="G632" s="47"/>
      <c r="H632" s="47"/>
    </row>
    <row r="633" spans="1:8" ht="12.75">
      <c r="A633" s="47"/>
      <c r="B633" s="47"/>
      <c r="C633" s="47"/>
      <c r="D633" s="47"/>
      <c r="E633" s="47"/>
      <c r="F633" s="47"/>
      <c r="G633" s="47"/>
      <c r="H633" s="47"/>
    </row>
    <row r="634" spans="1:8" ht="12.75">
      <c r="A634" s="47"/>
      <c r="B634" s="47"/>
      <c r="C634" s="47"/>
      <c r="D634" s="47"/>
      <c r="E634" s="47"/>
      <c r="F634" s="47"/>
      <c r="G634" s="47"/>
      <c r="H634" s="47"/>
    </row>
    <row r="635" spans="1:8" ht="12.75">
      <c r="A635" s="47"/>
      <c r="B635" s="47"/>
      <c r="C635" s="47"/>
      <c r="D635" s="47"/>
      <c r="E635" s="47"/>
      <c r="F635" s="47"/>
      <c r="G635" s="47"/>
      <c r="H635" s="47"/>
    </row>
    <row r="636" spans="1:8" ht="12.75">
      <c r="A636" s="47"/>
      <c r="B636" s="47"/>
      <c r="C636" s="47"/>
      <c r="D636" s="47"/>
      <c r="E636" s="47"/>
      <c r="F636" s="47"/>
      <c r="G636" s="47"/>
      <c r="H636" s="47"/>
    </row>
    <row r="637" spans="1:8" ht="12.75">
      <c r="A637" s="47"/>
      <c r="B637" s="47"/>
      <c r="C637" s="47"/>
      <c r="D637" s="47"/>
      <c r="E637" s="47"/>
      <c r="F637" s="47"/>
      <c r="G637" s="47"/>
      <c r="H637" s="47"/>
    </row>
    <row r="638" spans="1:8" ht="12.75">
      <c r="A638" s="47"/>
      <c r="B638" s="47"/>
      <c r="C638" s="47"/>
      <c r="D638" s="47"/>
      <c r="E638" s="47"/>
      <c r="F638" s="47"/>
      <c r="G638" s="47"/>
      <c r="H638" s="47"/>
    </row>
    <row r="639" spans="1:8" ht="12.75">
      <c r="A639" s="47"/>
      <c r="B639" s="47"/>
      <c r="C639" s="47"/>
      <c r="D639" s="47"/>
      <c r="E639" s="47"/>
      <c r="F639" s="47"/>
      <c r="G639" s="47"/>
      <c r="H639" s="47"/>
    </row>
    <row r="640" spans="1:8" ht="12.75">
      <c r="A640" s="47"/>
      <c r="B640" s="47"/>
      <c r="C640" s="47"/>
      <c r="D640" s="47"/>
      <c r="E640" s="47"/>
      <c r="F640" s="47"/>
      <c r="G640" s="47"/>
      <c r="H640" s="47"/>
    </row>
    <row r="641" spans="1:8" ht="12.75">
      <c r="A641" s="47"/>
      <c r="B641" s="47"/>
      <c r="C641" s="47"/>
      <c r="D641" s="47"/>
      <c r="E641" s="47"/>
      <c r="F641" s="47"/>
      <c r="G641" s="47"/>
      <c r="H641" s="47"/>
    </row>
    <row r="642" spans="1:8" ht="12.75">
      <c r="A642" s="47"/>
      <c r="B642" s="47"/>
      <c r="C642" s="47"/>
      <c r="D642" s="47"/>
      <c r="E642" s="47"/>
      <c r="F642" s="47"/>
      <c r="G642" s="47"/>
      <c r="H642" s="47"/>
    </row>
    <row r="643" spans="1:8" ht="12.75">
      <c r="A643" s="47"/>
      <c r="B643" s="47"/>
      <c r="C643" s="47"/>
      <c r="D643" s="47"/>
      <c r="E643" s="47"/>
      <c r="F643" s="47"/>
      <c r="G643" s="47"/>
      <c r="H643" s="47"/>
    </row>
    <row r="644" spans="1:8" ht="12.75">
      <c r="A644" s="47"/>
      <c r="B644" s="47"/>
      <c r="C644" s="47"/>
      <c r="D644" s="47"/>
      <c r="E644" s="47"/>
      <c r="F644" s="47"/>
      <c r="G644" s="47"/>
      <c r="H644" s="47"/>
    </row>
    <row r="645" spans="1:8" ht="12.75">
      <c r="A645" s="47"/>
      <c r="B645" s="47"/>
      <c r="C645" s="47"/>
      <c r="D645" s="47"/>
      <c r="E645" s="47"/>
      <c r="F645" s="47"/>
      <c r="G645" s="47"/>
      <c r="H645" s="47"/>
    </row>
    <row r="646" spans="1:8" ht="12.75">
      <c r="A646" s="47"/>
      <c r="B646" s="47"/>
      <c r="C646" s="47"/>
      <c r="D646" s="47"/>
      <c r="E646" s="47"/>
      <c r="F646" s="47"/>
      <c r="G646" s="47"/>
      <c r="H646" s="47"/>
    </row>
    <row r="647" spans="1:8" ht="12.75">
      <c r="A647" s="47"/>
      <c r="B647" s="47"/>
      <c r="C647" s="47"/>
      <c r="D647" s="47"/>
      <c r="E647" s="47"/>
      <c r="F647" s="47"/>
      <c r="G647" s="47"/>
      <c r="H647" s="47"/>
    </row>
    <row r="648" spans="1:8" ht="12.75">
      <c r="A648" s="47"/>
      <c r="B648" s="47"/>
      <c r="C648" s="47"/>
      <c r="D648" s="47"/>
      <c r="E648" s="47"/>
      <c r="F648" s="47"/>
      <c r="G648" s="47"/>
      <c r="H648" s="47"/>
    </row>
    <row r="649" spans="1:8" ht="12.75">
      <c r="A649" s="47"/>
      <c r="B649" s="47"/>
      <c r="C649" s="47"/>
      <c r="D649" s="47"/>
      <c r="E649" s="47"/>
      <c r="F649" s="47"/>
      <c r="G649" s="47"/>
      <c r="H649" s="47"/>
    </row>
    <row r="650" spans="1:8" ht="12.75">
      <c r="A650" s="47"/>
      <c r="B650" s="47"/>
      <c r="C650" s="47"/>
      <c r="D650" s="47"/>
      <c r="E650" s="47"/>
      <c r="F650" s="47"/>
      <c r="G650" s="47"/>
      <c r="H650" s="47"/>
    </row>
    <row r="651" spans="1:8" ht="12.75">
      <c r="A651" s="47"/>
      <c r="B651" s="47"/>
      <c r="C651" s="47"/>
      <c r="D651" s="47"/>
      <c r="E651" s="47"/>
      <c r="F651" s="47"/>
      <c r="G651" s="47"/>
      <c r="H651" s="47"/>
    </row>
    <row r="652" spans="1:8" ht="12.75">
      <c r="A652" s="47"/>
      <c r="B652" s="47"/>
      <c r="C652" s="47"/>
      <c r="D652" s="47"/>
      <c r="E652" s="47"/>
      <c r="F652" s="47"/>
      <c r="G652" s="47"/>
      <c r="H652" s="47"/>
    </row>
    <row r="653" spans="1:8" ht="12.75">
      <c r="A653" s="47"/>
      <c r="B653" s="47"/>
      <c r="C653" s="47"/>
      <c r="D653" s="47"/>
      <c r="E653" s="47"/>
      <c r="F653" s="47"/>
      <c r="G653" s="47"/>
      <c r="H653" s="47"/>
    </row>
    <row r="654" spans="1:8" ht="12.75">
      <c r="A654" s="47"/>
      <c r="B654" s="47"/>
      <c r="C654" s="47"/>
      <c r="D654" s="47"/>
      <c r="E654" s="47"/>
      <c r="F654" s="47"/>
      <c r="G654" s="47"/>
      <c r="H654" s="47"/>
    </row>
  </sheetData>
  <sheetProtection/>
  <printOptions gridLines="1"/>
  <pageMargins left="0.75" right="0.75" top="1" bottom="1" header="0.5" footer="0.5"/>
  <pageSetup horizontalDpi="300" verticalDpi="300" orientation="portrait" scale="80" r:id="rId1"/>
  <rowBreaks count="8" manualBreakCount="8">
    <brk id="44" max="7" man="1"/>
    <brk id="72" max="7" man="1"/>
    <brk id="119" max="7" man="1"/>
    <brk id="151" max="7" man="1"/>
    <brk id="186" max="7" man="1"/>
    <brk id="237" max="7" man="1"/>
    <brk id="289" max="7" man="1"/>
    <brk id="352" max="7" man="1"/>
  </rowBreaks>
</worksheet>
</file>

<file path=xl/worksheets/sheet3.xml><?xml version="1.0" encoding="utf-8"?>
<worksheet xmlns="http://schemas.openxmlformats.org/spreadsheetml/2006/main" xmlns:r="http://schemas.openxmlformats.org/officeDocument/2006/relationships">
  <dimension ref="A1:W148"/>
  <sheetViews>
    <sheetView zoomScale="90" zoomScaleNormal="90" zoomScalePageLayoutView="0" workbookViewId="0" topLeftCell="A82">
      <selection activeCell="G142" sqref="G142"/>
    </sheetView>
  </sheetViews>
  <sheetFormatPr defaultColWidth="9.140625" defaultRowHeight="12.75"/>
  <cols>
    <col min="1" max="1" width="36.8515625" style="17" customWidth="1"/>
    <col min="2" max="10" width="10.7109375" style="17" customWidth="1"/>
    <col min="11" max="16384" width="9.140625" style="17" customWidth="1"/>
  </cols>
  <sheetData>
    <row r="1" spans="1:15" ht="12.75">
      <c r="A1" s="1" t="str">
        <f>Data!A1</f>
        <v>Financial Statement Analysis Package (FSAP): Version 8.0</v>
      </c>
      <c r="B1" s="177"/>
      <c r="C1" s="177"/>
      <c r="D1" s="177"/>
      <c r="E1" s="177"/>
      <c r="F1" s="241"/>
      <c r="G1" s="241"/>
      <c r="H1" s="241"/>
      <c r="I1" s="242"/>
      <c r="K1" s="5"/>
      <c r="L1" s="6"/>
      <c r="M1" s="6"/>
      <c r="N1" s="6"/>
      <c r="O1" s="7"/>
    </row>
    <row r="2" spans="1:15" ht="12.75">
      <c r="A2" s="9" t="str">
        <f>Data!A2</f>
        <v>Financial Reporting, Financial Statement Analysis, and Valuation: A Strategic Perspective, 8th Edition</v>
      </c>
      <c r="B2" s="179"/>
      <c r="C2" s="179"/>
      <c r="D2" s="179"/>
      <c r="E2" s="179"/>
      <c r="F2" s="179"/>
      <c r="G2" s="179"/>
      <c r="H2" s="179"/>
      <c r="I2" s="316"/>
      <c r="K2" s="9" t="s">
        <v>413</v>
      </c>
      <c r="L2" s="10"/>
      <c r="M2" s="10"/>
      <c r="N2" s="10"/>
      <c r="O2" s="11"/>
    </row>
    <row r="3" spans="1:15" ht="13.5" thickBot="1">
      <c r="A3" s="12" t="s">
        <v>414</v>
      </c>
      <c r="B3" s="124"/>
      <c r="C3" s="124"/>
      <c r="D3" s="124"/>
      <c r="E3" s="124"/>
      <c r="F3" s="124"/>
      <c r="G3" s="124"/>
      <c r="H3" s="124"/>
      <c r="I3" s="317"/>
      <c r="K3" s="15"/>
      <c r="L3" s="13"/>
      <c r="M3" s="13"/>
      <c r="N3" s="13"/>
      <c r="O3" s="14"/>
    </row>
    <row r="4" spans="11:18" ht="12.75">
      <c r="K4" s="28" t="s">
        <v>548</v>
      </c>
      <c r="L4" s="28"/>
      <c r="M4" s="28"/>
      <c r="N4" s="28"/>
      <c r="O4" s="28"/>
      <c r="P4" s="28"/>
      <c r="Q4" s="28"/>
      <c r="R4" s="28"/>
    </row>
    <row r="6" spans="1:11" ht="12.75">
      <c r="A6" s="18" t="s">
        <v>536</v>
      </c>
      <c r="K6" s="109" t="s">
        <v>10</v>
      </c>
    </row>
    <row r="7" ht="12.75">
      <c r="K7" s="17" t="s">
        <v>232</v>
      </c>
    </row>
    <row r="8" ht="12.75">
      <c r="K8" s="17" t="s">
        <v>115</v>
      </c>
    </row>
    <row r="9" ht="12.75">
      <c r="K9" s="17" t="s">
        <v>9</v>
      </c>
    </row>
    <row r="10" spans="1:11" ht="12.75">
      <c r="A10" s="109"/>
      <c r="K10" s="17" t="s">
        <v>116</v>
      </c>
    </row>
    <row r="11" spans="1:10" ht="12.75">
      <c r="A11" s="318" t="s">
        <v>424</v>
      </c>
      <c r="B11" s="637" t="str">
        <f>Data!B9</f>
        <v>Wahlen, Baginski &amp; Bradshaw</v>
      </c>
      <c r="C11" s="185"/>
      <c r="D11" s="185"/>
      <c r="E11" s="185"/>
      <c r="F11" s="185"/>
      <c r="G11" s="185"/>
      <c r="H11" s="185"/>
      <c r="I11" s="185"/>
      <c r="J11" s="51"/>
    </row>
    <row r="12" spans="1:10" ht="12.75">
      <c r="A12" s="318" t="s">
        <v>425</v>
      </c>
      <c r="B12" s="637" t="str">
        <f>Data!B10</f>
        <v>PepsiCo</v>
      </c>
      <c r="C12" s="241"/>
      <c r="D12" s="241"/>
      <c r="E12" s="241"/>
      <c r="F12" s="241"/>
      <c r="G12" s="241"/>
      <c r="H12" s="241"/>
      <c r="I12" s="241"/>
      <c r="J12" s="51"/>
    </row>
    <row r="13" spans="1:11" ht="12.75">
      <c r="A13" s="109"/>
      <c r="J13" s="51"/>
      <c r="K13" s="17" t="s">
        <v>241</v>
      </c>
    </row>
    <row r="14" spans="10:11" s="109" customFormat="1" ht="12.75">
      <c r="J14" s="97"/>
      <c r="K14" s="17" t="s">
        <v>242</v>
      </c>
    </row>
    <row r="15" spans="10:11" s="109" customFormat="1" ht="12.75">
      <c r="J15" s="97"/>
      <c r="K15" s="17" t="s">
        <v>243</v>
      </c>
    </row>
    <row r="16" spans="1:10" ht="12.75">
      <c r="A16" s="319" t="s">
        <v>117</v>
      </c>
      <c r="B16" s="320"/>
      <c r="C16" s="320"/>
      <c r="D16" s="320"/>
      <c r="E16" s="320"/>
      <c r="F16" s="320"/>
      <c r="G16" s="320"/>
      <c r="H16" s="320"/>
      <c r="I16" s="320"/>
      <c r="J16" s="51"/>
    </row>
    <row r="17" spans="1:10" ht="12.75">
      <c r="A17" s="109"/>
      <c r="B17" s="321"/>
      <c r="C17" s="321"/>
      <c r="D17" s="321"/>
      <c r="E17" s="321"/>
      <c r="F17" s="321"/>
      <c r="G17" s="321"/>
      <c r="H17" s="321"/>
      <c r="I17" s="321"/>
      <c r="J17" s="51"/>
    </row>
    <row r="18" spans="1:10" ht="12.75">
      <c r="A18" s="109"/>
      <c r="B18" s="207" t="s">
        <v>482</v>
      </c>
      <c r="C18" s="208"/>
      <c r="D18" s="208"/>
      <c r="E18" s="209" t="s">
        <v>483</v>
      </c>
      <c r="F18" s="210"/>
      <c r="G18" s="210"/>
      <c r="H18" s="210"/>
      <c r="I18" s="210"/>
      <c r="J18" s="99"/>
    </row>
    <row r="19" spans="1:10" ht="12.75">
      <c r="A19" s="109" t="s">
        <v>19</v>
      </c>
      <c r="B19" s="212">
        <f>Forecasts!B19</f>
        <v>2010</v>
      </c>
      <c r="C19" s="212">
        <f>Forecasts!C19</f>
        <v>2011</v>
      </c>
      <c r="D19" s="212">
        <f>Forecasts!D19</f>
        <v>2012</v>
      </c>
      <c r="E19" s="212" t="str">
        <f>Forecasts!E19</f>
        <v>Year +1</v>
      </c>
      <c r="F19" s="212" t="str">
        <f>Forecasts!F19</f>
        <v>Year +2</v>
      </c>
      <c r="G19" s="212" t="str">
        <f>Forecasts!G19</f>
        <v>Year +3</v>
      </c>
      <c r="H19" s="212" t="str">
        <f>Forecasts!H19</f>
        <v>Year +4</v>
      </c>
      <c r="I19" s="212" t="str">
        <f>Forecasts!I19</f>
        <v>Year +5</v>
      </c>
      <c r="J19" s="276"/>
    </row>
    <row r="20" spans="1:10" ht="12.75">
      <c r="A20" s="109"/>
      <c r="B20" s="109"/>
      <c r="C20" s="109"/>
      <c r="D20" s="109"/>
      <c r="E20" s="212"/>
      <c r="F20" s="212"/>
      <c r="G20" s="212"/>
      <c r="H20" s="212"/>
      <c r="I20" s="212"/>
      <c r="J20" s="276"/>
    </row>
    <row r="21" spans="1:11" ht="12.75">
      <c r="A21" s="109" t="str">
        <f>Forecasts!A21</f>
        <v>Revenues</v>
      </c>
      <c r="B21" s="322">
        <f>Data!E65</f>
        <v>57838</v>
      </c>
      <c r="C21" s="322">
        <f>Data!F65</f>
        <v>66504</v>
      </c>
      <c r="D21" s="322">
        <f>Data!G65</f>
        <v>65492</v>
      </c>
      <c r="E21" s="323">
        <f>E33</f>
        <v>68198.42020000001</v>
      </c>
      <c r="F21" s="323">
        <f>F33</f>
        <v>71044.28821564002</v>
      </c>
      <c r="G21" s="323">
        <f>G33</f>
        <v>74037.79862244437</v>
      </c>
      <c r="H21" s="323">
        <f>H33</f>
        <v>78672.10425383542</v>
      </c>
      <c r="I21" s="323">
        <f>I33</f>
        <v>80503.98919646164</v>
      </c>
      <c r="J21" s="324"/>
      <c r="K21" s="17" t="s">
        <v>399</v>
      </c>
    </row>
    <row r="22" spans="1:10" ht="12.75">
      <c r="A22" s="17" t="s">
        <v>492</v>
      </c>
      <c r="B22" s="109"/>
      <c r="C22" s="233">
        <f aca="true" t="shared" si="0" ref="C22:I22">C21/B21-1</f>
        <v>0.14983229018984057</v>
      </c>
      <c r="D22" s="233">
        <f t="shared" si="0"/>
        <v>-0.015217129796703976</v>
      </c>
      <c r="E22" s="325">
        <f t="shared" si="0"/>
        <v>0.041324439626214016</v>
      </c>
      <c r="F22" s="325">
        <f t="shared" si="0"/>
        <v>0.041729236649385104</v>
      </c>
      <c r="G22" s="325">
        <f t="shared" si="0"/>
        <v>0.04213583501207285</v>
      </c>
      <c r="H22" s="325">
        <f t="shared" si="0"/>
        <v>0.06259377936158916</v>
      </c>
      <c r="I22" s="325">
        <f t="shared" si="0"/>
        <v>0.023285063492335834</v>
      </c>
      <c r="J22" s="222"/>
    </row>
    <row r="23" spans="1:10" ht="12.75">
      <c r="A23" s="109"/>
      <c r="D23" s="233"/>
      <c r="E23" s="223" t="s">
        <v>11</v>
      </c>
      <c r="F23" s="326"/>
      <c r="G23" s="326"/>
      <c r="H23" s="326"/>
      <c r="I23" s="326"/>
      <c r="J23" s="49"/>
    </row>
    <row r="24" ht="12.75">
      <c r="J24" s="49"/>
    </row>
    <row r="25" spans="1:10" ht="12.75">
      <c r="A25" s="109" t="s">
        <v>733</v>
      </c>
      <c r="J25" s="49"/>
    </row>
    <row r="26" spans="1:10" ht="12.75">
      <c r="A26" s="109"/>
      <c r="J26" s="49"/>
    </row>
    <row r="27" spans="1:10" ht="12.75">
      <c r="A27" s="109" t="str">
        <f>A41</f>
        <v>Frito-Lay North America</v>
      </c>
      <c r="B27" s="328">
        <f>B41</f>
        <v>12573</v>
      </c>
      <c r="C27" s="328">
        <f>C41</f>
        <v>13322</v>
      </c>
      <c r="D27" s="328">
        <f aca="true" t="shared" si="1" ref="D27:I27">D41</f>
        <v>13574</v>
      </c>
      <c r="E27" s="568">
        <f t="shared" si="1"/>
        <v>13983.9348</v>
      </c>
      <c r="F27" s="568">
        <f t="shared" si="1"/>
        <v>14406.249630960001</v>
      </c>
      <c r="G27" s="568">
        <f t="shared" si="1"/>
        <v>14841.318369814993</v>
      </c>
      <c r="H27" s="568">
        <f t="shared" si="1"/>
        <v>15583.555534286934</v>
      </c>
      <c r="I27" s="568">
        <f t="shared" si="1"/>
        <v>15751.269875357828</v>
      </c>
      <c r="J27" s="49"/>
    </row>
    <row r="28" spans="1:10" ht="12.75">
      <c r="A28" s="109" t="str">
        <f>A49</f>
        <v>Quaker Foods North America</v>
      </c>
      <c r="B28" s="18">
        <f>B49</f>
        <v>2656</v>
      </c>
      <c r="C28" s="18">
        <f>C49</f>
        <v>2656</v>
      </c>
      <c r="D28" s="18">
        <f aca="true" t="shared" si="2" ref="D28:I28">D49</f>
        <v>2636</v>
      </c>
      <c r="E28" s="569">
        <f t="shared" si="2"/>
        <v>2635.7364000000002</v>
      </c>
      <c r="F28" s="569">
        <f t="shared" si="2"/>
        <v>2635.7364000000002</v>
      </c>
      <c r="G28" s="569">
        <f t="shared" si="2"/>
        <v>2635.7364000000002</v>
      </c>
      <c r="H28" s="569">
        <f t="shared" si="2"/>
        <v>2686.1549960976927</v>
      </c>
      <c r="I28" s="569">
        <f t="shared" si="2"/>
        <v>2635.2092790773645</v>
      </c>
      <c r="J28" s="49"/>
    </row>
    <row r="29" spans="1:10" ht="12.75">
      <c r="A29" s="109" t="str">
        <f>A57</f>
        <v>Latin America Foods</v>
      </c>
      <c r="B29" s="328">
        <f>B57</f>
        <v>6315</v>
      </c>
      <c r="C29" s="328">
        <f>C57</f>
        <v>7156</v>
      </c>
      <c r="D29" s="328">
        <f aca="true" t="shared" si="3" ref="D29:I29">D57</f>
        <v>7780</v>
      </c>
      <c r="E29" s="568">
        <f t="shared" si="3"/>
        <v>8414.848000000002</v>
      </c>
      <c r="F29" s="568">
        <f t="shared" si="3"/>
        <v>9101.499596800002</v>
      </c>
      <c r="G29" s="568">
        <f t="shared" si="3"/>
        <v>9844.181963898884</v>
      </c>
      <c r="H29" s="568">
        <f t="shared" si="3"/>
        <v>10852.22619700213</v>
      </c>
      <c r="I29" s="568">
        <f t="shared" si="3"/>
        <v>11516.300536664723</v>
      </c>
      <c r="J29" s="49"/>
    </row>
    <row r="30" spans="1:10" ht="12.75">
      <c r="A30" s="109" t="str">
        <f>A65</f>
        <v>PepsiCo Americas Beverages</v>
      </c>
      <c r="B30" s="18">
        <f>B65</f>
        <v>20401</v>
      </c>
      <c r="C30" s="18">
        <f>C65</f>
        <v>22418</v>
      </c>
      <c r="D30" s="18">
        <f aca="true" t="shared" si="4" ref="D30:I30">D65</f>
        <v>21408</v>
      </c>
      <c r="E30" s="569">
        <f t="shared" si="4"/>
        <v>22054.5216</v>
      </c>
      <c r="F30" s="569">
        <f t="shared" si="4"/>
        <v>22720.56815232</v>
      </c>
      <c r="G30" s="569">
        <f t="shared" si="4"/>
        <v>23406.729310520062</v>
      </c>
      <c r="H30" s="569">
        <f t="shared" si="4"/>
        <v>24577.33585369196</v>
      </c>
      <c r="I30" s="569">
        <f t="shared" si="4"/>
        <v>24841.843634275847</v>
      </c>
      <c r="J30" s="49"/>
    </row>
    <row r="31" spans="1:10" ht="12.75">
      <c r="A31" s="109" t="str">
        <f>A73</f>
        <v>Europe</v>
      </c>
      <c r="B31" s="328">
        <f>B73</f>
        <v>9602</v>
      </c>
      <c r="C31" s="328">
        <f>C73</f>
        <v>13560</v>
      </c>
      <c r="D31" s="328">
        <f aca="true" t="shared" si="5" ref="D31:I31">D73</f>
        <v>13441</v>
      </c>
      <c r="E31" s="568">
        <f t="shared" si="5"/>
        <v>13984.0164</v>
      </c>
      <c r="F31" s="568">
        <f t="shared" si="5"/>
        <v>14548.970662560001</v>
      </c>
      <c r="G31" s="568">
        <f t="shared" si="5"/>
        <v>15136.749077327426</v>
      </c>
      <c r="H31" s="568">
        <f t="shared" si="5"/>
        <v>16051.125158129364</v>
      </c>
      <c r="I31" s="568">
        <f t="shared" si="5"/>
        <v>16384.50399914953</v>
      </c>
      <c r="J31" s="49"/>
    </row>
    <row r="32" spans="1:10" ht="12.75">
      <c r="A32" s="109" t="str">
        <f>A81</f>
        <v>Asia, Middle East &amp; Africa</v>
      </c>
      <c r="B32" s="18">
        <f>B81</f>
        <v>6291</v>
      </c>
      <c r="C32" s="18">
        <f>C81</f>
        <v>7392</v>
      </c>
      <c r="D32" s="18">
        <f aca="true" t="shared" si="6" ref="D32:I32">D81</f>
        <v>6653</v>
      </c>
      <c r="E32" s="569">
        <f t="shared" si="6"/>
        <v>7125.363000000001</v>
      </c>
      <c r="F32" s="569">
        <f t="shared" si="6"/>
        <v>7631.263773000002</v>
      </c>
      <c r="G32" s="569">
        <f t="shared" si="6"/>
        <v>8173.083500883004</v>
      </c>
      <c r="H32" s="569">
        <f t="shared" si="6"/>
        <v>8921.706514627347</v>
      </c>
      <c r="I32" s="569">
        <f t="shared" si="6"/>
        <v>9374.861871936346</v>
      </c>
      <c r="J32" s="49"/>
    </row>
    <row r="33" spans="1:10" ht="12.75">
      <c r="A33" s="329" t="s">
        <v>740</v>
      </c>
      <c r="B33" s="570">
        <f>SUM(B27:B32)</f>
        <v>57838</v>
      </c>
      <c r="C33" s="570">
        <f aca="true" t="shared" si="7" ref="C33:I33">SUM(C27:C32)</f>
        <v>66504</v>
      </c>
      <c r="D33" s="570">
        <f t="shared" si="7"/>
        <v>65492</v>
      </c>
      <c r="E33" s="571">
        <f t="shared" si="7"/>
        <v>68198.42020000001</v>
      </c>
      <c r="F33" s="571">
        <f t="shared" si="7"/>
        <v>71044.28821564002</v>
      </c>
      <c r="G33" s="571">
        <f t="shared" si="7"/>
        <v>74037.79862244437</v>
      </c>
      <c r="H33" s="571">
        <f t="shared" si="7"/>
        <v>78672.10425383542</v>
      </c>
      <c r="I33" s="571">
        <f t="shared" si="7"/>
        <v>80503.98919646164</v>
      </c>
      <c r="J33" s="49"/>
    </row>
    <row r="34" spans="1:10" ht="12.75">
      <c r="A34" s="572" t="s">
        <v>731</v>
      </c>
      <c r="B34" s="566"/>
      <c r="C34" s="573">
        <f aca="true" t="shared" si="8" ref="C34:I34">C33/B33-1</f>
        <v>0.14983229018984057</v>
      </c>
      <c r="D34" s="573">
        <f t="shared" si="8"/>
        <v>-0.015217129796703976</v>
      </c>
      <c r="E34" s="261">
        <f t="shared" si="8"/>
        <v>0.041324439626214016</v>
      </c>
      <c r="F34" s="261">
        <f t="shared" si="8"/>
        <v>0.041729236649385104</v>
      </c>
      <c r="G34" s="261">
        <f t="shared" si="8"/>
        <v>0.04213583501207285</v>
      </c>
      <c r="H34" s="261">
        <f t="shared" si="8"/>
        <v>0.06259377936158916</v>
      </c>
      <c r="I34" s="261">
        <f t="shared" si="8"/>
        <v>0.023285063492335834</v>
      </c>
      <c r="J34" s="49"/>
    </row>
    <row r="35" spans="1:10" ht="12.75">
      <c r="A35" s="327"/>
      <c r="B35" s="566"/>
      <c r="C35" s="573"/>
      <c r="D35" s="573"/>
      <c r="E35" s="261"/>
      <c r="F35" s="261"/>
      <c r="G35" s="261"/>
      <c r="H35" s="261"/>
      <c r="I35" s="261"/>
      <c r="J35" s="49"/>
    </row>
    <row r="36" spans="1:10" ht="12.75">
      <c r="A36" s="327"/>
      <c r="B36" s="566"/>
      <c r="C36" s="573"/>
      <c r="D36" s="573"/>
      <c r="E36" s="261"/>
      <c r="F36" s="261"/>
      <c r="G36" s="261"/>
      <c r="H36" s="261"/>
      <c r="I36" s="261"/>
      <c r="J36" s="49"/>
    </row>
    <row r="37" spans="2:10" ht="12.75">
      <c r="B37" s="566"/>
      <c r="C37" s="566"/>
      <c r="D37" s="566"/>
      <c r="E37" s="566"/>
      <c r="F37" s="566"/>
      <c r="G37" s="566"/>
      <c r="H37" s="566"/>
      <c r="I37" s="566"/>
      <c r="J37" s="49"/>
    </row>
    <row r="38" spans="1:10" ht="12.75">
      <c r="A38" s="109" t="s">
        <v>734</v>
      </c>
      <c r="B38" s="574">
        <f>B19</f>
        <v>2010</v>
      </c>
      <c r="C38" s="574">
        <f aca="true" t="shared" si="9" ref="C38:I38">C19</f>
        <v>2011</v>
      </c>
      <c r="D38" s="574">
        <f t="shared" si="9"/>
        <v>2012</v>
      </c>
      <c r="E38" s="575" t="str">
        <f t="shared" si="9"/>
        <v>Year +1</v>
      </c>
      <c r="F38" s="575" t="str">
        <f t="shared" si="9"/>
        <v>Year +2</v>
      </c>
      <c r="G38" s="575" t="str">
        <f t="shared" si="9"/>
        <v>Year +3</v>
      </c>
      <c r="H38" s="575" t="str">
        <f t="shared" si="9"/>
        <v>Year +4</v>
      </c>
      <c r="I38" s="575" t="str">
        <f t="shared" si="9"/>
        <v>Year +5</v>
      </c>
      <c r="J38" s="49"/>
    </row>
    <row r="39" spans="1:10" ht="12.75">
      <c r="A39" s="327"/>
      <c r="B39" s="566"/>
      <c r="C39" s="573"/>
      <c r="D39" s="573"/>
      <c r="E39" s="261"/>
      <c r="F39" s="261"/>
      <c r="G39" s="261"/>
      <c r="H39" s="261"/>
      <c r="I39" s="261"/>
      <c r="J39" s="49"/>
    </row>
    <row r="40" spans="1:10" ht="12.75">
      <c r="A40" s="327"/>
      <c r="B40" s="566"/>
      <c r="C40" s="573"/>
      <c r="D40" s="573"/>
      <c r="E40" s="261"/>
      <c r="F40" s="261"/>
      <c r="G40" s="261"/>
      <c r="H40" s="261"/>
      <c r="I40" s="261"/>
      <c r="J40" s="49"/>
    </row>
    <row r="41" spans="1:10" ht="12.75">
      <c r="A41" s="109" t="s">
        <v>727</v>
      </c>
      <c r="B41" s="328">
        <v>12573</v>
      </c>
      <c r="C41" s="328">
        <v>13322</v>
      </c>
      <c r="D41" s="328">
        <v>13574</v>
      </c>
      <c r="E41" s="568">
        <f>D41*(1+E42)</f>
        <v>13983.9348</v>
      </c>
      <c r="F41" s="568">
        <f>E41*(1+F42)</f>
        <v>14406.249630960001</v>
      </c>
      <c r="G41" s="568">
        <f>F41*(1+G42)</f>
        <v>14841.318369814993</v>
      </c>
      <c r="H41" s="568">
        <f>G41*(1+H42)</f>
        <v>15583.555534286934</v>
      </c>
      <c r="I41" s="568">
        <f>H41*(1+I42)</f>
        <v>15751.269875357828</v>
      </c>
      <c r="J41" s="49"/>
    </row>
    <row r="42" spans="1:10" ht="12.75">
      <c r="A42" s="572" t="s">
        <v>737</v>
      </c>
      <c r="B42" s="567"/>
      <c r="C42" s="576">
        <f>C41/B41-1</f>
        <v>0.05957209894217774</v>
      </c>
      <c r="D42" s="576">
        <f>D41/C41-1</f>
        <v>0.01891607866686673</v>
      </c>
      <c r="E42" s="577">
        <f>(1+E43)*(1+E45)*(1+E44)*(1+E46)-1</f>
        <v>0.030200000000000005</v>
      </c>
      <c r="F42" s="577">
        <f>(1+F43)*(1+F45)*(1+F44)*(1+F46)-1</f>
        <v>0.030200000000000005</v>
      </c>
      <c r="G42" s="577">
        <f>(1+G43)*(1+G45)*(1+G44)*(1+G46)-1</f>
        <v>0.030200000000000005</v>
      </c>
      <c r="H42" s="577">
        <f>(1+H43)*(1+H45)*(1+H44)*(1+H46)-1</f>
        <v>0.050011538461538496</v>
      </c>
      <c r="I42" s="577">
        <f>(1+I43)*(1+I45)*(1+I44)*(1+I46)-1</f>
        <v>0.010762264150943501</v>
      </c>
      <c r="J42" s="49"/>
    </row>
    <row r="43" spans="1:10" ht="12.75">
      <c r="A43" s="572" t="s">
        <v>735</v>
      </c>
      <c r="B43" s="566"/>
      <c r="C43" s="576">
        <v>0.02</v>
      </c>
      <c r="D43" s="576">
        <v>-0.01</v>
      </c>
      <c r="E43" s="578">
        <v>0.01</v>
      </c>
      <c r="F43" s="578">
        <f aca="true" t="shared" si="10" ref="F43:I44">E43</f>
        <v>0.01</v>
      </c>
      <c r="G43" s="578">
        <f t="shared" si="10"/>
        <v>0.01</v>
      </c>
      <c r="H43" s="578">
        <f t="shared" si="10"/>
        <v>0.01</v>
      </c>
      <c r="I43" s="578">
        <f t="shared" si="10"/>
        <v>0.01</v>
      </c>
      <c r="J43" s="49"/>
    </row>
    <row r="44" spans="1:10" ht="12.75">
      <c r="A44" s="572" t="s">
        <v>771</v>
      </c>
      <c r="B44" s="566"/>
      <c r="C44" s="580">
        <f>C42-C43-C46-C45</f>
        <v>0.020341329711408576</v>
      </c>
      <c r="D44" s="580">
        <f>D42-D43-D46-D45</f>
        <v>0.04791607866686673</v>
      </c>
      <c r="E44" s="578">
        <v>0.02</v>
      </c>
      <c r="F44" s="578">
        <f t="shared" si="10"/>
        <v>0.02</v>
      </c>
      <c r="G44" s="578">
        <f t="shared" si="10"/>
        <v>0.02</v>
      </c>
      <c r="H44" s="578">
        <f t="shared" si="10"/>
        <v>0.02</v>
      </c>
      <c r="I44" s="578">
        <f t="shared" si="10"/>
        <v>0.02</v>
      </c>
      <c r="J44" s="49"/>
    </row>
    <row r="45" spans="1:10" ht="12.75">
      <c r="A45" s="572" t="s">
        <v>736</v>
      </c>
      <c r="B45" s="566"/>
      <c r="C45" s="580">
        <v>0</v>
      </c>
      <c r="D45" s="580">
        <v>0</v>
      </c>
      <c r="E45" s="578">
        <v>0</v>
      </c>
      <c r="F45" s="578">
        <v>0</v>
      </c>
      <c r="G45" s="578">
        <v>0</v>
      </c>
      <c r="H45" s="578">
        <v>0</v>
      </c>
      <c r="I45" s="578">
        <v>0</v>
      </c>
      <c r="J45" s="49"/>
    </row>
    <row r="46" spans="1:10" ht="12.75">
      <c r="A46" s="572" t="s">
        <v>732</v>
      </c>
      <c r="B46" s="566"/>
      <c r="C46" s="576">
        <f>53/52-1</f>
        <v>0.019230769230769162</v>
      </c>
      <c r="D46" s="576">
        <v>-0.019</v>
      </c>
      <c r="E46" s="577">
        <v>0</v>
      </c>
      <c r="F46" s="577">
        <f>52/52-1</f>
        <v>0</v>
      </c>
      <c r="G46" s="577">
        <f>52/52-1</f>
        <v>0</v>
      </c>
      <c r="H46" s="577">
        <f>53/52-1</f>
        <v>0.019230769230769162</v>
      </c>
      <c r="I46" s="577">
        <f>52/53-1</f>
        <v>-0.018867924528301883</v>
      </c>
      <c r="J46" s="49"/>
    </row>
    <row r="47" spans="3:10" ht="12.75">
      <c r="C47" s="576"/>
      <c r="D47" s="576"/>
      <c r="J47" s="49"/>
    </row>
    <row r="48" spans="1:10" ht="12.75">
      <c r="A48" s="566"/>
      <c r="B48" s="566"/>
      <c r="C48" s="566"/>
      <c r="D48" s="566"/>
      <c r="E48" s="566"/>
      <c r="F48" s="566"/>
      <c r="G48" s="566"/>
      <c r="H48" s="566"/>
      <c r="I48" s="566"/>
      <c r="J48" s="49"/>
    </row>
    <row r="49" spans="1:10" ht="12.75">
      <c r="A49" s="109" t="s">
        <v>728</v>
      </c>
      <c r="B49" s="328">
        <v>2656</v>
      </c>
      <c r="C49" s="328">
        <v>2656</v>
      </c>
      <c r="D49" s="328">
        <v>2636</v>
      </c>
      <c r="E49" s="568">
        <f>D49*(1+E50)</f>
        <v>2635.7364000000002</v>
      </c>
      <c r="F49" s="568">
        <f>E49*(1+F50)</f>
        <v>2635.7364000000002</v>
      </c>
      <c r="G49" s="568">
        <f>F49*(1+G50)</f>
        <v>2635.7364000000002</v>
      </c>
      <c r="H49" s="568">
        <f>G49*(1+H50)</f>
        <v>2686.1549960976927</v>
      </c>
      <c r="I49" s="568">
        <f>H49*(1+I50)</f>
        <v>2635.2092790773645</v>
      </c>
      <c r="J49" s="49"/>
    </row>
    <row r="50" spans="1:10" ht="12.75">
      <c r="A50" s="572" t="s">
        <v>737</v>
      </c>
      <c r="B50" s="567"/>
      <c r="C50" s="576">
        <f>C49/B49-1</f>
        <v>0</v>
      </c>
      <c r="D50" s="576">
        <f>D49/C49-1</f>
        <v>-0.0075301204819276935</v>
      </c>
      <c r="E50" s="577">
        <f>(1+E51)*(1+E53)*(1+E52)*(1+E54)-1</f>
        <v>-9.999999999998899E-05</v>
      </c>
      <c r="F50" s="577">
        <v>0</v>
      </c>
      <c r="G50" s="577">
        <v>0</v>
      </c>
      <c r="H50" s="577">
        <f>(1+H51)*(1+H53)*(1+H52)*(1+H54)-1</f>
        <v>0.019128846153846135</v>
      </c>
      <c r="I50" s="577">
        <f>(1+I51)*(1+I53)*(1+I52)*(1+I54)-1</f>
        <v>-0.01896603773584904</v>
      </c>
      <c r="J50" s="49"/>
    </row>
    <row r="51" spans="1:10" ht="12.75">
      <c r="A51" s="572" t="s">
        <v>735</v>
      </c>
      <c r="B51" s="566"/>
      <c r="C51" s="576">
        <v>-0.05</v>
      </c>
      <c r="D51" s="576">
        <v>-0.01</v>
      </c>
      <c r="E51" s="578">
        <v>-0.01</v>
      </c>
      <c r="F51" s="578">
        <f aca="true" t="shared" si="11" ref="F51:I52">E51</f>
        <v>-0.01</v>
      </c>
      <c r="G51" s="578">
        <f t="shared" si="11"/>
        <v>-0.01</v>
      </c>
      <c r="H51" s="578">
        <f t="shared" si="11"/>
        <v>-0.01</v>
      </c>
      <c r="I51" s="578">
        <f t="shared" si="11"/>
        <v>-0.01</v>
      </c>
      <c r="J51" s="49"/>
    </row>
    <row r="52" spans="1:10" ht="12.75">
      <c r="A52" s="572" t="s">
        <v>771</v>
      </c>
      <c r="B52" s="566"/>
      <c r="C52" s="580">
        <f>C50-C51-C53-C54</f>
        <v>0.02076923076923084</v>
      </c>
      <c r="D52" s="580">
        <f>D50-D51-D54-D53</f>
        <v>0.021469879518072305</v>
      </c>
      <c r="E52" s="578">
        <v>0.01</v>
      </c>
      <c r="F52" s="578">
        <f t="shared" si="11"/>
        <v>0.01</v>
      </c>
      <c r="G52" s="578">
        <f t="shared" si="11"/>
        <v>0.01</v>
      </c>
      <c r="H52" s="578">
        <f t="shared" si="11"/>
        <v>0.01</v>
      </c>
      <c r="I52" s="578">
        <f t="shared" si="11"/>
        <v>0.01</v>
      </c>
      <c r="J52" s="49"/>
    </row>
    <row r="53" spans="1:10" ht="12.75">
      <c r="A53" s="572" t="s">
        <v>736</v>
      </c>
      <c r="B53" s="566"/>
      <c r="C53" s="580">
        <v>0.01</v>
      </c>
      <c r="D53" s="580">
        <v>0</v>
      </c>
      <c r="E53" s="578">
        <v>0</v>
      </c>
      <c r="F53" s="578">
        <v>0</v>
      </c>
      <c r="G53" s="578">
        <v>0</v>
      </c>
      <c r="H53" s="578">
        <v>0</v>
      </c>
      <c r="I53" s="578">
        <v>0</v>
      </c>
      <c r="J53" s="49"/>
    </row>
    <row r="54" spans="1:10" ht="12.75">
      <c r="A54" s="572" t="s">
        <v>732</v>
      </c>
      <c r="B54" s="566"/>
      <c r="C54" s="576">
        <f>53/52-1</f>
        <v>0.019230769230769162</v>
      </c>
      <c r="D54" s="576">
        <v>-0.019</v>
      </c>
      <c r="E54" s="577">
        <v>0</v>
      </c>
      <c r="F54" s="577">
        <f>52/52-1</f>
        <v>0</v>
      </c>
      <c r="G54" s="577">
        <f>52/52-1</f>
        <v>0</v>
      </c>
      <c r="H54" s="577">
        <f>53/52-1</f>
        <v>0.019230769230769162</v>
      </c>
      <c r="I54" s="577">
        <f>52/53-1</f>
        <v>-0.018867924528301883</v>
      </c>
      <c r="J54" s="49"/>
    </row>
    <row r="55" spans="1:10" ht="12.75">
      <c r="A55" s="572"/>
      <c r="B55" s="566"/>
      <c r="C55" s="576"/>
      <c r="D55" s="576"/>
      <c r="E55" s="577"/>
      <c r="F55" s="577"/>
      <c r="G55" s="577"/>
      <c r="H55" s="577"/>
      <c r="I55" s="577"/>
      <c r="J55" s="49"/>
    </row>
    <row r="56" spans="1:10" ht="12.75">
      <c r="A56" s="566"/>
      <c r="B56" s="566"/>
      <c r="C56" s="566"/>
      <c r="D56" s="566"/>
      <c r="E56" s="566"/>
      <c r="F56" s="566"/>
      <c r="G56" s="566"/>
      <c r="H56" s="566"/>
      <c r="I56" s="566"/>
      <c r="J56" s="49"/>
    </row>
    <row r="57" spans="1:10" ht="12.75">
      <c r="A57" s="109" t="s">
        <v>729</v>
      </c>
      <c r="B57" s="328">
        <v>6315</v>
      </c>
      <c r="C57" s="328">
        <v>7156</v>
      </c>
      <c r="D57" s="328">
        <v>7780</v>
      </c>
      <c r="E57" s="568">
        <f>D57*(1+E58)</f>
        <v>8414.848000000002</v>
      </c>
      <c r="F57" s="568">
        <f>E57*(1+F58)</f>
        <v>9101.499596800002</v>
      </c>
      <c r="G57" s="568">
        <f>F57*(1+G58)</f>
        <v>9844.181963898884</v>
      </c>
      <c r="H57" s="568">
        <f>G57*(1+H58)</f>
        <v>10852.22619700213</v>
      </c>
      <c r="I57" s="568">
        <f>H57*(1+I58)</f>
        <v>11516.300536664723</v>
      </c>
      <c r="J57" s="49"/>
    </row>
    <row r="58" spans="1:10" ht="12.75">
      <c r="A58" s="572" t="s">
        <v>737</v>
      </c>
      <c r="B58" s="567"/>
      <c r="C58" s="576">
        <f>C57/B57-1</f>
        <v>0.13317498020585905</v>
      </c>
      <c r="D58" s="576">
        <f>D57/C57-1</f>
        <v>0.087199552822806</v>
      </c>
      <c r="E58" s="577">
        <f>(1+E59)*(1+E61)*(1+E60)*(1+E62)-1</f>
        <v>0.08160000000000012</v>
      </c>
      <c r="F58" s="577">
        <f>(1+F59)*(1+F61)*(1+F60)*(1+F62)-1</f>
        <v>0.08160000000000012</v>
      </c>
      <c r="G58" s="577">
        <f>(1+G59)*(1+G61)*(1+G60)*(1+G62)-1</f>
        <v>0.08160000000000012</v>
      </c>
      <c r="H58" s="577">
        <f>(1+H59)*(1+H61)*(1+H60)*(1+H62)-1</f>
        <v>0.10240000000000005</v>
      </c>
      <c r="I58" s="577">
        <f>(1+I59)*(1+I61)*(1+I60)*(1+I62)-1</f>
        <v>0.061192452830188815</v>
      </c>
      <c r="J58" s="49"/>
    </row>
    <row r="59" spans="1:10" ht="12.75">
      <c r="A59" s="572" t="s">
        <v>772</v>
      </c>
      <c r="B59" s="566"/>
      <c r="C59" s="576">
        <v>0.035</v>
      </c>
      <c r="D59" s="576">
        <v>0.06</v>
      </c>
      <c r="E59" s="578">
        <v>0.04</v>
      </c>
      <c r="F59" s="578">
        <f aca="true" t="shared" si="12" ref="F59:I60">E59</f>
        <v>0.04</v>
      </c>
      <c r="G59" s="578">
        <f t="shared" si="12"/>
        <v>0.04</v>
      </c>
      <c r="H59" s="578">
        <f t="shared" si="12"/>
        <v>0.04</v>
      </c>
      <c r="I59" s="578">
        <f t="shared" si="12"/>
        <v>0.04</v>
      </c>
      <c r="J59" s="49"/>
    </row>
    <row r="60" spans="1:10" ht="12.75">
      <c r="A60" s="572" t="s">
        <v>771</v>
      </c>
      <c r="B60" s="566"/>
      <c r="C60" s="580">
        <f>C58-C59-C61-C62</f>
        <v>0.05894421097508988</v>
      </c>
      <c r="D60" s="580">
        <f>D58-D59-D62-D61</f>
        <v>0.11619955282280602</v>
      </c>
      <c r="E60" s="578">
        <v>0.04</v>
      </c>
      <c r="F60" s="578">
        <f t="shared" si="12"/>
        <v>0.04</v>
      </c>
      <c r="G60" s="578">
        <f t="shared" si="12"/>
        <v>0.04</v>
      </c>
      <c r="H60" s="578">
        <f t="shared" si="12"/>
        <v>0.04</v>
      </c>
      <c r="I60" s="578">
        <f t="shared" si="12"/>
        <v>0.04</v>
      </c>
      <c r="J60" s="49"/>
    </row>
    <row r="61" spans="1:10" ht="12.75">
      <c r="A61" s="572" t="s">
        <v>736</v>
      </c>
      <c r="B61" s="566"/>
      <c r="C61" s="580">
        <v>0.02</v>
      </c>
      <c r="D61" s="580">
        <v>-0.07</v>
      </c>
      <c r="E61" s="578">
        <v>0</v>
      </c>
      <c r="F61" s="578">
        <v>0</v>
      </c>
      <c r="G61" s="578">
        <v>0</v>
      </c>
      <c r="H61" s="578">
        <v>0</v>
      </c>
      <c r="I61" s="578">
        <v>0</v>
      </c>
      <c r="J61" s="49"/>
    </row>
    <row r="62" spans="1:10" ht="12.75">
      <c r="A62" s="572" t="s">
        <v>732</v>
      </c>
      <c r="B62" s="566"/>
      <c r="C62" s="576">
        <f>53/52-1</f>
        <v>0.019230769230769162</v>
      </c>
      <c r="D62" s="576">
        <v>-0.019</v>
      </c>
      <c r="E62" s="577">
        <v>0</v>
      </c>
      <c r="F62" s="577">
        <f>52/52-1</f>
        <v>0</v>
      </c>
      <c r="G62" s="577">
        <f>52/52-1</f>
        <v>0</v>
      </c>
      <c r="H62" s="577">
        <f>53/52-1</f>
        <v>0.019230769230769162</v>
      </c>
      <c r="I62" s="577">
        <f>52/53-1</f>
        <v>-0.018867924528301883</v>
      </c>
      <c r="J62" s="49"/>
    </row>
    <row r="63" spans="1:10" ht="12.75">
      <c r="A63" s="572"/>
      <c r="B63" s="566"/>
      <c r="C63" s="580"/>
      <c r="D63" s="580"/>
      <c r="E63" s="579"/>
      <c r="F63" s="579"/>
      <c r="G63" s="566"/>
      <c r="H63" s="566"/>
      <c r="I63" s="566"/>
      <c r="J63" s="49"/>
    </row>
    <row r="64" spans="1:10" ht="12.75">
      <c r="A64" s="572"/>
      <c r="B64" s="566"/>
      <c r="C64" s="566"/>
      <c r="D64" s="566"/>
      <c r="E64" s="579"/>
      <c r="F64" s="579"/>
      <c r="G64" s="566"/>
      <c r="H64" s="566"/>
      <c r="I64" s="566"/>
      <c r="J64" s="49"/>
    </row>
    <row r="65" spans="1:10" ht="12.75">
      <c r="A65" s="581" t="s">
        <v>730</v>
      </c>
      <c r="B65" s="18">
        <v>20401</v>
      </c>
      <c r="C65" s="18">
        <v>22418</v>
      </c>
      <c r="D65" s="18">
        <v>21408</v>
      </c>
      <c r="E65" s="569">
        <f>D65*(1+E66)</f>
        <v>22054.5216</v>
      </c>
      <c r="F65" s="569">
        <f>E65*(1+F66)</f>
        <v>22720.56815232</v>
      </c>
      <c r="G65" s="569">
        <f>F65*(1+G66)</f>
        <v>23406.729310520062</v>
      </c>
      <c r="H65" s="569">
        <f>G65*(1+H66)</f>
        <v>24577.33585369196</v>
      </c>
      <c r="I65" s="569">
        <f>H65*(1+I66)</f>
        <v>24841.843634275847</v>
      </c>
      <c r="J65" s="49"/>
    </row>
    <row r="66" spans="1:10" ht="12.75">
      <c r="A66" s="572" t="s">
        <v>737</v>
      </c>
      <c r="B66" s="567"/>
      <c r="C66" s="576">
        <f>C65/B65-1</f>
        <v>0.09886770256359978</v>
      </c>
      <c r="D66" s="576">
        <f>D65/C65-1</f>
        <v>-0.045053082344544526</v>
      </c>
      <c r="E66" s="577">
        <f>(1+E67)*(1+E69)*(1+E68)*(1+E70)-1</f>
        <v>0.030200000000000005</v>
      </c>
      <c r="F66" s="577">
        <f>(1+F67)*(1+F69)*(1+F68)*(1+F70)-1</f>
        <v>0.030200000000000005</v>
      </c>
      <c r="G66" s="577">
        <f>(1+G67)*(1+G69)*(1+G68)*(1+G70)-1</f>
        <v>0.030200000000000005</v>
      </c>
      <c r="H66" s="577">
        <f>(1+H67)*(1+H69)*(1+H68)*(1+H70)-1</f>
        <v>0.050011538461538496</v>
      </c>
      <c r="I66" s="577">
        <f>(1+I67)*(1+I69)*(1+I68)*(1+I70)-1</f>
        <v>0.010762264150943501</v>
      </c>
      <c r="J66" s="49"/>
    </row>
    <row r="67" spans="1:10" ht="12.75">
      <c r="A67" s="572" t="s">
        <v>772</v>
      </c>
      <c r="B67" s="566"/>
      <c r="C67" s="576">
        <v>0.06</v>
      </c>
      <c r="D67" s="576">
        <v>-0.075</v>
      </c>
      <c r="E67" s="578">
        <v>0.01</v>
      </c>
      <c r="F67" s="578">
        <f aca="true" t="shared" si="13" ref="F67:I68">E67</f>
        <v>0.01</v>
      </c>
      <c r="G67" s="578">
        <f t="shared" si="13"/>
        <v>0.01</v>
      </c>
      <c r="H67" s="578">
        <f t="shared" si="13"/>
        <v>0.01</v>
      </c>
      <c r="I67" s="578">
        <f t="shared" si="13"/>
        <v>0.01</v>
      </c>
      <c r="J67" s="49"/>
    </row>
    <row r="68" spans="1:10" ht="12.75">
      <c r="A68" s="572" t="s">
        <v>771</v>
      </c>
      <c r="B68" s="566"/>
      <c r="C68" s="580">
        <f>C66-C67-C69-C70</f>
        <v>0.009636933332830618</v>
      </c>
      <c r="D68" s="580">
        <f>D66-D67-D70-D69</f>
        <v>0.048946917655455474</v>
      </c>
      <c r="E68" s="578">
        <v>0.02</v>
      </c>
      <c r="F68" s="578">
        <f t="shared" si="13"/>
        <v>0.02</v>
      </c>
      <c r="G68" s="578">
        <f t="shared" si="13"/>
        <v>0.02</v>
      </c>
      <c r="H68" s="578">
        <f t="shared" si="13"/>
        <v>0.02</v>
      </c>
      <c r="I68" s="578">
        <f t="shared" si="13"/>
        <v>0.02</v>
      </c>
      <c r="J68" s="49"/>
    </row>
    <row r="69" spans="1:10" ht="12.75">
      <c r="A69" s="572" t="s">
        <v>736</v>
      </c>
      <c r="B69" s="566"/>
      <c r="C69" s="580">
        <v>0.01</v>
      </c>
      <c r="D69" s="580">
        <v>0</v>
      </c>
      <c r="E69" s="578">
        <v>0</v>
      </c>
      <c r="F69" s="578">
        <v>0</v>
      </c>
      <c r="G69" s="578">
        <v>0</v>
      </c>
      <c r="H69" s="578">
        <v>0</v>
      </c>
      <c r="I69" s="578">
        <v>0</v>
      </c>
      <c r="J69" s="49"/>
    </row>
    <row r="70" spans="1:10" ht="12.75">
      <c r="A70" s="572" t="s">
        <v>732</v>
      </c>
      <c r="B70" s="566"/>
      <c r="C70" s="576">
        <f>53/52-1</f>
        <v>0.019230769230769162</v>
      </c>
      <c r="D70" s="576">
        <v>-0.019</v>
      </c>
      <c r="E70" s="577">
        <v>0</v>
      </c>
      <c r="F70" s="577">
        <f>52/52-1</f>
        <v>0</v>
      </c>
      <c r="G70" s="577">
        <f>52/52-1</f>
        <v>0</v>
      </c>
      <c r="H70" s="577">
        <f>53/52-1</f>
        <v>0.019230769230769162</v>
      </c>
      <c r="I70" s="577">
        <f>52/53-1</f>
        <v>-0.018867924528301883</v>
      </c>
      <c r="J70" s="49"/>
    </row>
    <row r="71" spans="1:10" ht="12.75">
      <c r="A71" s="566"/>
      <c r="B71" s="566"/>
      <c r="C71" s="566"/>
      <c r="D71" s="566"/>
      <c r="E71" s="566"/>
      <c r="F71" s="566"/>
      <c r="G71" s="566"/>
      <c r="H71" s="566"/>
      <c r="I71" s="566"/>
      <c r="J71" s="49"/>
    </row>
    <row r="72" spans="1:10" ht="12.75">
      <c r="A72" s="566"/>
      <c r="B72" s="566"/>
      <c r="C72" s="566"/>
      <c r="D72" s="566"/>
      <c r="E72" s="566"/>
      <c r="F72" s="566"/>
      <c r="G72" s="566"/>
      <c r="H72" s="566"/>
      <c r="I72" s="566"/>
      <c r="J72" s="49"/>
    </row>
    <row r="73" spans="1:10" ht="12.75">
      <c r="A73" s="109" t="s">
        <v>738</v>
      </c>
      <c r="B73" s="328">
        <v>9602</v>
      </c>
      <c r="C73" s="328">
        <v>13560</v>
      </c>
      <c r="D73" s="328">
        <v>13441</v>
      </c>
      <c r="E73" s="568">
        <f>D73*(1+E74)</f>
        <v>13984.0164</v>
      </c>
      <c r="F73" s="568">
        <f>E73*(1+F74)</f>
        <v>14548.970662560001</v>
      </c>
      <c r="G73" s="568">
        <f>F73*(1+G74)</f>
        <v>15136.749077327426</v>
      </c>
      <c r="H73" s="568">
        <f>G73*(1+H74)</f>
        <v>16051.125158129364</v>
      </c>
      <c r="I73" s="568">
        <f>H73*(1+I74)</f>
        <v>16384.50399914953</v>
      </c>
      <c r="J73" s="49"/>
    </row>
    <row r="74" spans="1:10" ht="12.75">
      <c r="A74" s="572" t="s">
        <v>737</v>
      </c>
      <c r="B74" s="567"/>
      <c r="C74" s="576">
        <f>C73/B73-1</f>
        <v>0.4122057904603207</v>
      </c>
      <c r="D74" s="576">
        <f>D73/C73-1</f>
        <v>-0.008775811209439488</v>
      </c>
      <c r="E74" s="577">
        <f>(1+E75)*(1+E77)*(1+E76)*(1+E78)-1</f>
        <v>0.04039999999999999</v>
      </c>
      <c r="F74" s="577">
        <f>(1+F75)*(1+F77)*(1+F76)*(1+F78)-1</f>
        <v>0.04039999999999999</v>
      </c>
      <c r="G74" s="577">
        <f>(1+G75)*(1+G77)*(1+G76)*(1+G78)-1</f>
        <v>0.04039999999999999</v>
      </c>
      <c r="H74" s="577">
        <f>(1+H75)*(1+H77)*(1+H76)*(1+H78)-1</f>
        <v>0.06040769230769216</v>
      </c>
      <c r="I74" s="577">
        <f>(1+I75)*(1+I77)*(1+I76)*(1+I78)-1</f>
        <v>0.020769811320754616</v>
      </c>
      <c r="J74" s="49"/>
    </row>
    <row r="75" spans="1:10" ht="12.75">
      <c r="A75" s="572" t="s">
        <v>772</v>
      </c>
      <c r="B75" s="566"/>
      <c r="C75" s="576">
        <v>0.36</v>
      </c>
      <c r="D75" s="576">
        <v>0.02</v>
      </c>
      <c r="E75" s="578">
        <v>0.02</v>
      </c>
      <c r="F75" s="578">
        <f aca="true" t="shared" si="14" ref="F75:I76">E75</f>
        <v>0.02</v>
      </c>
      <c r="G75" s="578">
        <f t="shared" si="14"/>
        <v>0.02</v>
      </c>
      <c r="H75" s="578">
        <f t="shared" si="14"/>
        <v>0.02</v>
      </c>
      <c r="I75" s="578">
        <f t="shared" si="14"/>
        <v>0.02</v>
      </c>
      <c r="J75" s="49"/>
    </row>
    <row r="76" spans="1:10" ht="12.75">
      <c r="A76" s="572" t="s">
        <v>771</v>
      </c>
      <c r="B76" s="566"/>
      <c r="C76" s="580">
        <f>C74-C75-C77-C78</f>
        <v>0.002975021229551539</v>
      </c>
      <c r="D76" s="580">
        <f>D74-D75-D78-D77</f>
        <v>0.06022418879056052</v>
      </c>
      <c r="E76" s="578">
        <v>0.02</v>
      </c>
      <c r="F76" s="578">
        <f t="shared" si="14"/>
        <v>0.02</v>
      </c>
      <c r="G76" s="578">
        <f t="shared" si="14"/>
        <v>0.02</v>
      </c>
      <c r="H76" s="578">
        <f t="shared" si="14"/>
        <v>0.02</v>
      </c>
      <c r="I76" s="578">
        <f t="shared" si="14"/>
        <v>0.02</v>
      </c>
      <c r="J76" s="49"/>
    </row>
    <row r="77" spans="1:10" ht="12.75">
      <c r="A77" s="572" t="s">
        <v>736</v>
      </c>
      <c r="B77" s="566"/>
      <c r="C77" s="580">
        <v>0.03</v>
      </c>
      <c r="D77" s="580">
        <v>-0.07</v>
      </c>
      <c r="E77" s="578">
        <v>0</v>
      </c>
      <c r="F77" s="578">
        <v>0</v>
      </c>
      <c r="G77" s="578">
        <v>0</v>
      </c>
      <c r="H77" s="578">
        <v>0</v>
      </c>
      <c r="I77" s="578">
        <v>0</v>
      </c>
      <c r="J77" s="49"/>
    </row>
    <row r="78" spans="1:10" ht="12.75">
      <c r="A78" s="572" t="s">
        <v>732</v>
      </c>
      <c r="B78" s="566"/>
      <c r="C78" s="576">
        <f>53/52-1</f>
        <v>0.019230769230769162</v>
      </c>
      <c r="D78" s="576">
        <v>-0.019</v>
      </c>
      <c r="E78" s="577">
        <v>0</v>
      </c>
      <c r="F78" s="577">
        <f>52/52-1</f>
        <v>0</v>
      </c>
      <c r="G78" s="577">
        <f>52/52-1</f>
        <v>0</v>
      </c>
      <c r="H78" s="577">
        <f>53/52-1</f>
        <v>0.019230769230769162</v>
      </c>
      <c r="I78" s="577">
        <f>52/53-1</f>
        <v>-0.018867924528301883</v>
      </c>
      <c r="J78" s="49"/>
    </row>
    <row r="79" spans="1:10" ht="12.75">
      <c r="A79" s="572"/>
      <c r="B79" s="566"/>
      <c r="C79" s="566"/>
      <c r="D79" s="576"/>
      <c r="E79" s="577"/>
      <c r="F79" s="577"/>
      <c r="G79" s="577"/>
      <c r="H79" s="577"/>
      <c r="I79" s="577"/>
      <c r="J79" s="49"/>
    </row>
    <row r="80" spans="1:10" ht="12.75">
      <c r="A80" s="566"/>
      <c r="B80" s="566"/>
      <c r="C80" s="566"/>
      <c r="D80" s="566"/>
      <c r="E80" s="566"/>
      <c r="F80" s="566"/>
      <c r="G80" s="566"/>
      <c r="H80" s="566"/>
      <c r="I80" s="566"/>
      <c r="J80" s="49"/>
    </row>
    <row r="81" spans="1:10" ht="12.75">
      <c r="A81" s="109" t="s">
        <v>739</v>
      </c>
      <c r="B81" s="328">
        <v>6291</v>
      </c>
      <c r="C81" s="328">
        <v>7392</v>
      </c>
      <c r="D81" s="328">
        <v>6653</v>
      </c>
      <c r="E81" s="568">
        <f>D81*(1+E82)</f>
        <v>7125.363000000001</v>
      </c>
      <c r="F81" s="568">
        <f>E81*(1+F82)</f>
        <v>7631.263773000002</v>
      </c>
      <c r="G81" s="568">
        <f>F81*(1+G82)</f>
        <v>8173.083500883004</v>
      </c>
      <c r="H81" s="568">
        <f>G81*(1+H82)</f>
        <v>8921.706514627347</v>
      </c>
      <c r="I81" s="568">
        <f>H81*(1+I82)</f>
        <v>9374.861871936346</v>
      </c>
      <c r="J81" s="49"/>
    </row>
    <row r="82" spans="1:10" ht="12.75">
      <c r="A82" s="572" t="s">
        <v>737</v>
      </c>
      <c r="B82" s="567"/>
      <c r="C82" s="576">
        <f>C81/B81-1</f>
        <v>0.1750119217930377</v>
      </c>
      <c r="D82" s="576">
        <f>D81/C81-1</f>
        <v>-0.09997294372294374</v>
      </c>
      <c r="E82" s="577">
        <f>(1+E83)*(1+E85)*(1+E84)*(1+E86)-1</f>
        <v>0.07100000000000017</v>
      </c>
      <c r="F82" s="577">
        <f>(1+F83)*(1+F85)*(1+F84)*(1+F86)-1</f>
        <v>0.07100000000000017</v>
      </c>
      <c r="G82" s="577">
        <f>(1+G83)*(1+G85)*(1+G84)*(1+G86)-1</f>
        <v>0.07100000000000017</v>
      </c>
      <c r="H82" s="577">
        <f>(1+H83)*(1+H85)*(1+H84)*(1+H86)-1</f>
        <v>0.09159615384615405</v>
      </c>
      <c r="I82" s="577">
        <f>(1+I83)*(1+I85)*(1+I84)*(1+I86)-1</f>
        <v>0.05079245283018885</v>
      </c>
      <c r="J82" s="49"/>
    </row>
    <row r="83" spans="1:10" ht="12.75">
      <c r="A83" s="572" t="s">
        <v>772</v>
      </c>
      <c r="B83" s="566"/>
      <c r="C83" s="576">
        <v>0.1</v>
      </c>
      <c r="D83" s="576">
        <v>-0.09</v>
      </c>
      <c r="E83" s="578">
        <v>0.05</v>
      </c>
      <c r="F83" s="578">
        <f aca="true" t="shared" si="15" ref="F83:I84">E83</f>
        <v>0.05</v>
      </c>
      <c r="G83" s="578">
        <f t="shared" si="15"/>
        <v>0.05</v>
      </c>
      <c r="H83" s="578">
        <f t="shared" si="15"/>
        <v>0.05</v>
      </c>
      <c r="I83" s="578">
        <f t="shared" si="15"/>
        <v>0.05</v>
      </c>
      <c r="J83" s="49"/>
    </row>
    <row r="84" spans="1:10" ht="12.75">
      <c r="A84" s="572" t="s">
        <v>771</v>
      </c>
      <c r="B84" s="566"/>
      <c r="C84" s="580">
        <f>C82-C83-C85-C86</f>
        <v>0.035781152562268534</v>
      </c>
      <c r="D84" s="580">
        <f>D82-D83-D86-D85</f>
        <v>0.03902705627705626</v>
      </c>
      <c r="E84" s="578">
        <v>0.02</v>
      </c>
      <c r="F84" s="578">
        <f t="shared" si="15"/>
        <v>0.02</v>
      </c>
      <c r="G84" s="578">
        <f t="shared" si="15"/>
        <v>0.02</v>
      </c>
      <c r="H84" s="578">
        <f t="shared" si="15"/>
        <v>0.02</v>
      </c>
      <c r="I84" s="578">
        <f t="shared" si="15"/>
        <v>0.02</v>
      </c>
      <c r="J84" s="49"/>
    </row>
    <row r="85" spans="1:10" ht="12.75">
      <c r="A85" s="572" t="s">
        <v>736</v>
      </c>
      <c r="B85" s="566"/>
      <c r="C85" s="580">
        <v>0.02</v>
      </c>
      <c r="D85" s="580">
        <v>-0.03</v>
      </c>
      <c r="E85" s="578">
        <v>0</v>
      </c>
      <c r="F85" s="578">
        <v>0</v>
      </c>
      <c r="G85" s="578">
        <v>0</v>
      </c>
      <c r="H85" s="578">
        <v>0</v>
      </c>
      <c r="I85" s="578">
        <v>0</v>
      </c>
      <c r="J85" s="49"/>
    </row>
    <row r="86" spans="1:10" ht="12.75">
      <c r="A86" s="572" t="s">
        <v>732</v>
      </c>
      <c r="B86" s="566"/>
      <c r="C86" s="576">
        <f>53/52-1</f>
        <v>0.019230769230769162</v>
      </c>
      <c r="D86" s="576">
        <v>-0.019</v>
      </c>
      <c r="E86" s="577">
        <v>0</v>
      </c>
      <c r="F86" s="577">
        <f>52/52-1</f>
        <v>0</v>
      </c>
      <c r="G86" s="577">
        <f>52/52-1</f>
        <v>0</v>
      </c>
      <c r="H86" s="577">
        <f>53/52-1</f>
        <v>0.019230769230769162</v>
      </c>
      <c r="I86" s="577">
        <f>52/53-1</f>
        <v>-0.018867924528301883</v>
      </c>
      <c r="J86" s="49"/>
    </row>
    <row r="87" spans="1:10" ht="12.75">
      <c r="A87" s="566"/>
      <c r="B87" s="566"/>
      <c r="C87" s="566"/>
      <c r="D87" s="566"/>
      <c r="E87" s="566"/>
      <c r="F87" s="566"/>
      <c r="G87" s="566"/>
      <c r="H87" s="566"/>
      <c r="I87" s="566"/>
      <c r="J87" s="49"/>
    </row>
    <row r="88" spans="1:10" ht="12.75">
      <c r="A88" s="572"/>
      <c r="B88" s="566"/>
      <c r="C88" s="566"/>
      <c r="D88" s="566"/>
      <c r="E88" s="579"/>
      <c r="F88" s="566"/>
      <c r="G88" s="566"/>
      <c r="H88" s="566"/>
      <c r="I88" s="566"/>
      <c r="J88" s="49"/>
    </row>
    <row r="89" spans="1:10" ht="12.75">
      <c r="A89" s="109"/>
      <c r="J89" s="49"/>
    </row>
    <row r="90" spans="1:10" ht="12.75">
      <c r="A90" s="109"/>
      <c r="J90" s="49"/>
    </row>
    <row r="91" spans="1:10" ht="12.75">
      <c r="A91" s="109"/>
      <c r="J91" s="49"/>
    </row>
    <row r="92" ht="12.75">
      <c r="J92" s="49"/>
    </row>
    <row r="93" ht="12.75">
      <c r="J93" s="49"/>
    </row>
    <row r="94" spans="1:10" ht="12.75">
      <c r="A94" s="319" t="s">
        <v>132</v>
      </c>
      <c r="B94" s="185"/>
      <c r="C94" s="185"/>
      <c r="D94" s="185"/>
      <c r="E94" s="185"/>
      <c r="F94" s="185"/>
      <c r="G94" s="185"/>
      <c r="H94" s="185"/>
      <c r="I94" s="185"/>
      <c r="J94" s="49"/>
    </row>
    <row r="95" ht="12.75">
      <c r="J95" s="49"/>
    </row>
    <row r="96" spans="1:23" ht="12.75">
      <c r="A96" s="319" t="s">
        <v>133</v>
      </c>
      <c r="B96" s="184"/>
      <c r="C96" s="184"/>
      <c r="D96" s="331"/>
      <c r="E96" s="332" t="s">
        <v>122</v>
      </c>
      <c r="F96" s="333"/>
      <c r="G96" s="334"/>
      <c r="H96" s="334"/>
      <c r="I96" s="334"/>
      <c r="J96" s="99"/>
      <c r="K96" s="49" t="s">
        <v>433</v>
      </c>
      <c r="L96" s="99"/>
      <c r="M96" s="99"/>
      <c r="N96" s="99"/>
      <c r="O96" s="99"/>
      <c r="P96" s="99"/>
      <c r="Q96" s="109"/>
      <c r="R96" s="109"/>
      <c r="S96" s="109"/>
      <c r="T96" s="109"/>
      <c r="U96" s="109"/>
      <c r="V96" s="109"/>
      <c r="W96" s="109"/>
    </row>
    <row r="97" spans="1:23" ht="12.75">
      <c r="A97" s="335"/>
      <c r="B97" s="335">
        <f aca="true" t="shared" si="16" ref="B97:I97">B19</f>
        <v>2010</v>
      </c>
      <c r="C97" s="335">
        <f t="shared" si="16"/>
        <v>2011</v>
      </c>
      <c r="D97" s="335">
        <f t="shared" si="16"/>
        <v>2012</v>
      </c>
      <c r="E97" s="523" t="str">
        <f t="shared" si="16"/>
        <v>Year +1</v>
      </c>
      <c r="F97" s="523" t="str">
        <f t="shared" si="16"/>
        <v>Year +2</v>
      </c>
      <c r="G97" s="523" t="str">
        <f t="shared" si="16"/>
        <v>Year +3</v>
      </c>
      <c r="H97" s="523" t="str">
        <f t="shared" si="16"/>
        <v>Year +4</v>
      </c>
      <c r="I97" s="523" t="str">
        <f t="shared" si="16"/>
        <v>Year +5</v>
      </c>
      <c r="J97" s="99"/>
      <c r="K97" s="336"/>
      <c r="L97" s="336"/>
      <c r="M97" s="336"/>
      <c r="N97" s="336"/>
      <c r="O97" s="99"/>
      <c r="P97" s="99"/>
      <c r="Q97" s="75"/>
      <c r="R97" s="75"/>
      <c r="S97" s="75"/>
      <c r="T97" s="75"/>
      <c r="U97" s="75"/>
      <c r="V97" s="75"/>
      <c r="W97" s="75"/>
    </row>
    <row r="98" spans="1:23" ht="12.75">
      <c r="A98" s="306" t="s">
        <v>123</v>
      </c>
      <c r="C98" s="337"/>
      <c r="D98" s="337"/>
      <c r="J98" s="49"/>
      <c r="K98" s="338"/>
      <c r="L98" s="338"/>
      <c r="M98" s="338"/>
      <c r="N98" s="338"/>
      <c r="O98" s="99"/>
      <c r="P98" s="99"/>
      <c r="Q98" s="109"/>
      <c r="R98" s="109"/>
      <c r="S98" s="109"/>
      <c r="T98" s="109"/>
      <c r="U98" s="109"/>
      <c r="V98" s="109"/>
      <c r="W98" s="109"/>
    </row>
    <row r="99" spans="1:23" ht="12.75">
      <c r="A99" s="327" t="s">
        <v>134</v>
      </c>
      <c r="B99" s="339">
        <f>-Data!E115</f>
        <v>3253</v>
      </c>
      <c r="C99" s="339">
        <f>-Data!F115</f>
        <v>3339</v>
      </c>
      <c r="D99" s="339">
        <f>-Data!G115</f>
        <v>2714</v>
      </c>
      <c r="E99" s="340"/>
      <c r="F99" s="340"/>
      <c r="G99" s="250"/>
      <c r="H99" s="250"/>
      <c r="I99" s="328"/>
      <c r="J99" s="99"/>
      <c r="K99" s="99"/>
      <c r="L99" s="99"/>
      <c r="M99" s="99"/>
      <c r="N99" s="99"/>
      <c r="O99" s="99"/>
      <c r="P99" s="99"/>
      <c r="Q99" s="109"/>
      <c r="R99" s="109"/>
      <c r="S99" s="109"/>
      <c r="T99" s="109"/>
      <c r="U99" s="109"/>
      <c r="V99" s="109"/>
      <c r="W99" s="109"/>
    </row>
    <row r="100" spans="1:23" ht="12.75">
      <c r="A100" s="327" t="s">
        <v>135</v>
      </c>
      <c r="B100" s="339">
        <f>-Data!E114</f>
        <v>-81</v>
      </c>
      <c r="C100" s="339">
        <f>-Data!F114</f>
        <v>-84</v>
      </c>
      <c r="D100" s="339">
        <f>-Data!G114</f>
        <v>-95</v>
      </c>
      <c r="E100" s="250"/>
      <c r="F100" s="250"/>
      <c r="G100" s="330"/>
      <c r="H100" s="330"/>
      <c r="I100" s="330"/>
      <c r="J100" s="330"/>
      <c r="K100" s="330"/>
      <c r="L100" s="330"/>
      <c r="M100" s="330"/>
      <c r="N100" s="330"/>
      <c r="O100" s="99"/>
      <c r="P100" s="99"/>
      <c r="Q100" s="109"/>
      <c r="R100" s="109"/>
      <c r="S100" s="109"/>
      <c r="T100" s="109"/>
      <c r="U100" s="109"/>
      <c r="V100" s="109"/>
      <c r="W100" s="109"/>
    </row>
    <row r="101" spans="1:23" ht="12.75">
      <c r="A101" s="306" t="s">
        <v>136</v>
      </c>
      <c r="B101" s="341">
        <f>B99+B100</f>
        <v>3172</v>
      </c>
      <c r="C101" s="341">
        <f>C99+C100</f>
        <v>3255</v>
      </c>
      <c r="D101" s="341">
        <f>D99+D100</f>
        <v>2619</v>
      </c>
      <c r="E101" s="342">
        <v>3000</v>
      </c>
      <c r="F101" s="342">
        <f>Forecasts!F21*'Forecast Development'!F105</f>
        <v>3410.1258343507207</v>
      </c>
      <c r="G101" s="342">
        <f>Forecasts!G21*'Forecast Development'!G105</f>
        <v>3553.8143338773302</v>
      </c>
      <c r="H101" s="342">
        <f>Forecasts!H21*'Forecast Development'!H105</f>
        <v>3776.2610041841003</v>
      </c>
      <c r="I101" s="342">
        <f>Forecasts!I21*'Forecast Development'!I105</f>
        <v>3864.191481430159</v>
      </c>
      <c r="J101" s="260"/>
      <c r="K101" s="99"/>
      <c r="L101" s="565"/>
      <c r="M101" s="99"/>
      <c r="N101" s="99"/>
      <c r="O101" s="99"/>
      <c r="P101" s="99"/>
      <c r="Q101" s="109"/>
      <c r="R101" s="109"/>
      <c r="S101" s="109"/>
      <c r="T101" s="109"/>
      <c r="U101" s="109"/>
      <c r="V101" s="109"/>
      <c r="W101" s="109"/>
    </row>
    <row r="102" spans="1:23" ht="12.75">
      <c r="A102" s="99"/>
      <c r="B102" s="306"/>
      <c r="C102" s="343"/>
      <c r="D102" s="343"/>
      <c r="E102" s="344"/>
      <c r="F102" s="344"/>
      <c r="G102" s="343"/>
      <c r="H102" s="343"/>
      <c r="I102" s="109"/>
      <c r="J102" s="99"/>
      <c r="K102" s="99"/>
      <c r="L102" s="99"/>
      <c r="M102" s="99"/>
      <c r="N102" s="99"/>
      <c r="O102" s="99"/>
      <c r="P102" s="99"/>
      <c r="Q102" s="109"/>
      <c r="R102" s="109"/>
      <c r="S102" s="109"/>
      <c r="T102" s="109"/>
      <c r="U102" s="109"/>
      <c r="V102" s="109"/>
      <c r="W102" s="109"/>
    </row>
    <row r="103" spans="1:23" ht="12.75">
      <c r="A103" s="99" t="s">
        <v>137</v>
      </c>
      <c r="B103" s="306"/>
      <c r="C103" s="345"/>
      <c r="D103" s="345"/>
      <c r="E103" s="345"/>
      <c r="F103" s="345"/>
      <c r="G103" s="345"/>
      <c r="H103" s="345"/>
      <c r="I103" s="345"/>
      <c r="J103" s="345"/>
      <c r="K103" s="345"/>
      <c r="L103" s="345"/>
      <c r="M103" s="345"/>
      <c r="N103" s="345"/>
      <c r="O103" s="99"/>
      <c r="P103" s="99"/>
      <c r="Q103" s="109"/>
      <c r="R103" s="109"/>
      <c r="S103" s="109"/>
      <c r="T103" s="109"/>
      <c r="U103" s="109"/>
      <c r="V103" s="109"/>
      <c r="W103" s="109"/>
    </row>
    <row r="104" spans="1:23" ht="12.75">
      <c r="A104" s="306" t="s">
        <v>138</v>
      </c>
      <c r="B104" s="279">
        <f>B101/Data!D26</f>
        <v>0.1273281952472704</v>
      </c>
      <c r="C104" s="279">
        <f aca="true" t="shared" si="17" ref="C104:I104">C101/B113</f>
        <v>0.09851396749493053</v>
      </c>
      <c r="D104" s="279">
        <f t="shared" si="17"/>
        <v>0.07453044963005122</v>
      </c>
      <c r="E104" s="346">
        <f t="shared" si="17"/>
        <v>0.08296001327360213</v>
      </c>
      <c r="F104" s="346">
        <f t="shared" si="17"/>
        <v>0.08707741776085799</v>
      </c>
      <c r="G104" s="346">
        <f t="shared" si="17"/>
        <v>0.08347749294233783</v>
      </c>
      <c r="H104" s="346">
        <f t="shared" si="17"/>
        <v>0.08186848854270556</v>
      </c>
      <c r="I104" s="346">
        <f t="shared" si="17"/>
        <v>0.07743529124255208</v>
      </c>
      <c r="J104" s="99"/>
      <c r="K104" s="99"/>
      <c r="L104" s="99"/>
      <c r="M104" s="99"/>
      <c r="N104" s="99"/>
      <c r="O104" s="99"/>
      <c r="P104" s="99"/>
      <c r="Q104" s="109"/>
      <c r="R104" s="109"/>
      <c r="S104" s="109"/>
      <c r="T104" s="109"/>
      <c r="U104" s="109"/>
      <c r="V104" s="109"/>
      <c r="W104" s="109"/>
    </row>
    <row r="105" spans="1:23" ht="12.75">
      <c r="A105" s="306" t="s">
        <v>18</v>
      </c>
      <c r="B105" s="279">
        <f>B101/Data!E65</f>
        <v>0.054842836889242366</v>
      </c>
      <c r="C105" s="279">
        <f>C101/Data!F65</f>
        <v>0.04894442439552508</v>
      </c>
      <c r="D105" s="279">
        <f>D101/Data!G65</f>
        <v>0.03998961705246442</v>
      </c>
      <c r="E105" s="346">
        <f>E101/E33</f>
        <v>0.04398928877241059</v>
      </c>
      <c r="F105" s="346">
        <v>0.048</v>
      </c>
      <c r="G105" s="346">
        <v>0.048</v>
      </c>
      <c r="H105" s="346">
        <v>0.048</v>
      </c>
      <c r="I105" s="346">
        <v>0.048</v>
      </c>
      <c r="J105" s="230"/>
      <c r="K105" s="347"/>
      <c r="L105" s="347"/>
      <c r="M105" s="347"/>
      <c r="N105" s="347"/>
      <c r="O105" s="99"/>
      <c r="P105" s="99"/>
      <c r="Q105" s="109"/>
      <c r="R105" s="109"/>
      <c r="S105" s="109"/>
      <c r="T105" s="109"/>
      <c r="U105" s="109"/>
      <c r="V105" s="109"/>
      <c r="W105" s="109"/>
    </row>
    <row r="106" spans="1:23" ht="12.75">
      <c r="A106" s="99"/>
      <c r="B106" s="99"/>
      <c r="C106" s="99"/>
      <c r="D106" s="98">
        <f>AVERAGE(B105:D105)</f>
        <v>0.04792562611241063</v>
      </c>
      <c r="E106" s="343"/>
      <c r="F106" s="344"/>
      <c r="G106" s="348"/>
      <c r="H106" s="348"/>
      <c r="I106" s="348"/>
      <c r="J106" s="347"/>
      <c r="K106" s="347"/>
      <c r="L106" s="347"/>
      <c r="M106" s="347"/>
      <c r="N106" s="347"/>
      <c r="O106" s="99"/>
      <c r="P106" s="99"/>
      <c r="Q106" s="109"/>
      <c r="R106" s="109"/>
      <c r="S106" s="109"/>
      <c r="T106" s="109"/>
      <c r="U106" s="109"/>
      <c r="V106" s="109"/>
      <c r="W106" s="109"/>
    </row>
    <row r="107" spans="1:23" ht="12.75">
      <c r="A107" s="99"/>
      <c r="B107" s="99"/>
      <c r="C107" s="99"/>
      <c r="D107" s="343"/>
      <c r="E107" s="343"/>
      <c r="F107" s="343"/>
      <c r="G107" s="343"/>
      <c r="H107" s="343"/>
      <c r="I107" s="109"/>
      <c r="J107" s="99"/>
      <c r="K107" s="99"/>
      <c r="L107" s="99"/>
      <c r="M107" s="99"/>
      <c r="N107" s="99"/>
      <c r="O107" s="99"/>
      <c r="P107" s="99"/>
      <c r="Q107" s="99"/>
      <c r="R107" s="99"/>
      <c r="S107" s="99"/>
      <c r="T107" s="109"/>
      <c r="U107" s="109"/>
      <c r="V107" s="109"/>
      <c r="W107" s="109"/>
    </row>
    <row r="108" spans="1:23" ht="12.75">
      <c r="A108" s="319" t="s">
        <v>124</v>
      </c>
      <c r="B108" s="184"/>
      <c r="C108" s="184"/>
      <c r="D108" s="331"/>
      <c r="E108" s="349" t="s">
        <v>125</v>
      </c>
      <c r="F108" s="333"/>
      <c r="G108" s="334"/>
      <c r="H108" s="334"/>
      <c r="I108" s="334"/>
      <c r="J108" s="99"/>
      <c r="K108" s="49" t="s">
        <v>400</v>
      </c>
      <c r="L108" s="99"/>
      <c r="M108" s="99"/>
      <c r="N108" s="99"/>
      <c r="O108" s="99"/>
      <c r="P108" s="99"/>
      <c r="Q108" s="99"/>
      <c r="R108" s="99"/>
      <c r="S108" s="99"/>
      <c r="T108" s="109"/>
      <c r="U108" s="109"/>
      <c r="V108" s="109"/>
      <c r="W108" s="109"/>
    </row>
    <row r="109" spans="1:23" ht="12.75">
      <c r="A109" s="99"/>
      <c r="B109" s="99"/>
      <c r="C109" s="99"/>
      <c r="D109" s="343"/>
      <c r="E109" s="343"/>
      <c r="F109" s="343"/>
      <c r="G109" s="343"/>
      <c r="H109" s="343"/>
      <c r="I109" s="109"/>
      <c r="J109" s="99"/>
      <c r="K109" s="49" t="s">
        <v>401</v>
      </c>
      <c r="L109" s="99"/>
      <c r="M109" s="99"/>
      <c r="N109" s="99"/>
      <c r="O109" s="99"/>
      <c r="P109" s="99"/>
      <c r="Q109" s="99"/>
      <c r="R109" s="99"/>
      <c r="S109" s="99"/>
      <c r="T109" s="109"/>
      <c r="U109" s="109"/>
      <c r="V109" s="109"/>
      <c r="W109" s="109"/>
    </row>
    <row r="110" spans="1:23" ht="12.75">
      <c r="A110" s="350" t="s">
        <v>154</v>
      </c>
      <c r="B110" s="109">
        <f>B97</f>
        <v>2010</v>
      </c>
      <c r="C110" s="109">
        <f aca="true" t="shared" si="18" ref="C110:I110">C97</f>
        <v>2011</v>
      </c>
      <c r="D110" s="109">
        <f t="shared" si="18"/>
        <v>2012</v>
      </c>
      <c r="E110" s="327" t="str">
        <f t="shared" si="18"/>
        <v>Year +1</v>
      </c>
      <c r="F110" s="327" t="str">
        <f t="shared" si="18"/>
        <v>Year +2</v>
      </c>
      <c r="G110" s="327" t="str">
        <f t="shared" si="18"/>
        <v>Year +3</v>
      </c>
      <c r="H110" s="327" t="str">
        <f t="shared" si="18"/>
        <v>Year +4</v>
      </c>
      <c r="I110" s="327" t="str">
        <f t="shared" si="18"/>
        <v>Year +5</v>
      </c>
      <c r="J110" s="99"/>
      <c r="K110" s="351"/>
      <c r="L110" s="351"/>
      <c r="M110" s="351"/>
      <c r="N110" s="351"/>
      <c r="O110" s="351"/>
      <c r="P110" s="351"/>
      <c r="Q110" s="99"/>
      <c r="R110" s="99"/>
      <c r="S110" s="99"/>
      <c r="T110" s="109"/>
      <c r="U110" s="109"/>
      <c r="V110" s="109"/>
      <c r="W110" s="109"/>
    </row>
    <row r="111" spans="1:23" ht="12.75">
      <c r="A111" s="352" t="s">
        <v>151</v>
      </c>
      <c r="B111" s="328"/>
      <c r="C111" s="328"/>
      <c r="D111" s="328"/>
      <c r="E111" s="328">
        <f>D113</f>
        <v>36162</v>
      </c>
      <c r="F111" s="328">
        <f>E113</f>
        <v>39162</v>
      </c>
      <c r="G111" s="328">
        <f>F113</f>
        <v>42572.12583435072</v>
      </c>
      <c r="H111" s="328">
        <f>G113</f>
        <v>46125.94016822805</v>
      </c>
      <c r="I111" s="328">
        <f>H113</f>
        <v>49902.201172412155</v>
      </c>
      <c r="J111" s="99"/>
      <c r="K111" s="351"/>
      <c r="L111" s="351"/>
      <c r="M111" s="351"/>
      <c r="N111" s="351"/>
      <c r="O111" s="351"/>
      <c r="P111" s="351"/>
      <c r="Q111" s="99"/>
      <c r="R111" s="99"/>
      <c r="S111" s="99"/>
      <c r="T111" s="109"/>
      <c r="U111" s="109"/>
      <c r="V111" s="109"/>
      <c r="W111" s="109"/>
    </row>
    <row r="112" spans="1:23" ht="12.75">
      <c r="A112" s="352" t="s">
        <v>153</v>
      </c>
      <c r="B112" s="328"/>
      <c r="C112" s="328"/>
      <c r="D112" s="328"/>
      <c r="E112" s="328">
        <f>E101</f>
        <v>3000</v>
      </c>
      <c r="F112" s="328">
        <f>F101</f>
        <v>3410.1258343507207</v>
      </c>
      <c r="G112" s="328">
        <f>G101</f>
        <v>3553.8143338773302</v>
      </c>
      <c r="H112" s="328">
        <f>H101</f>
        <v>3776.2610041841003</v>
      </c>
      <c r="I112" s="328">
        <f>I101</f>
        <v>3864.191481430159</v>
      </c>
      <c r="J112" s="99"/>
      <c r="K112" s="351"/>
      <c r="L112" s="351"/>
      <c r="M112" s="351"/>
      <c r="N112" s="351"/>
      <c r="O112" s="351"/>
      <c r="P112" s="351"/>
      <c r="Q112" s="99"/>
      <c r="R112" s="99"/>
      <c r="S112" s="99"/>
      <c r="T112" s="109"/>
      <c r="U112" s="109"/>
      <c r="V112" s="109"/>
      <c r="W112" s="109"/>
    </row>
    <row r="113" spans="1:23" ht="12.75">
      <c r="A113" s="329" t="s">
        <v>152</v>
      </c>
      <c r="B113" s="300">
        <f>Data!E26</f>
        <v>33041</v>
      </c>
      <c r="C113" s="300">
        <f>Data!F26</f>
        <v>35140</v>
      </c>
      <c r="D113" s="300">
        <f>Data!G26</f>
        <v>36162</v>
      </c>
      <c r="E113" s="300">
        <f>E111+E112</f>
        <v>39162</v>
      </c>
      <c r="F113" s="300">
        <f>F111+F112</f>
        <v>42572.12583435072</v>
      </c>
      <c r="G113" s="300">
        <f>G111+G112</f>
        <v>46125.94016822805</v>
      </c>
      <c r="H113" s="300">
        <f>H111+H112</f>
        <v>49902.201172412155</v>
      </c>
      <c r="I113" s="300">
        <f>I111+I112</f>
        <v>53766.39265384231</v>
      </c>
      <c r="J113" s="353"/>
      <c r="K113" s="354"/>
      <c r="L113" s="354"/>
      <c r="M113" s="354"/>
      <c r="N113" s="354"/>
      <c r="O113" s="354"/>
      <c r="P113" s="354"/>
      <c r="Q113" s="99"/>
      <c r="R113" s="99"/>
      <c r="S113" s="99"/>
      <c r="T113" s="109"/>
      <c r="U113" s="109"/>
      <c r="V113" s="109"/>
      <c r="W113" s="109"/>
    </row>
    <row r="114" spans="1:23" ht="12.75">
      <c r="A114" s="327"/>
      <c r="B114" s="355"/>
      <c r="C114" s="355"/>
      <c r="D114" s="355"/>
      <c r="E114" s="355"/>
      <c r="F114" s="355"/>
      <c r="G114" s="355"/>
      <c r="H114" s="355"/>
      <c r="I114" s="355"/>
      <c r="J114" s="353"/>
      <c r="K114" s="354"/>
      <c r="L114" s="354"/>
      <c r="M114" s="354"/>
      <c r="N114" s="354"/>
      <c r="O114" s="354"/>
      <c r="P114" s="354"/>
      <c r="Q114" s="99"/>
      <c r="R114" s="99"/>
      <c r="S114" s="99"/>
      <c r="T114" s="109"/>
      <c r="U114" s="109"/>
      <c r="V114" s="109"/>
      <c r="W114" s="109"/>
    </row>
    <row r="115" spans="1:23" ht="12.75">
      <c r="A115" s="350" t="s">
        <v>155</v>
      </c>
      <c r="B115" s="355"/>
      <c r="C115" s="355"/>
      <c r="D115" s="355"/>
      <c r="E115" s="355"/>
      <c r="F115" s="355"/>
      <c r="G115" s="355"/>
      <c r="H115" s="355"/>
      <c r="I115" s="355"/>
      <c r="J115" s="353"/>
      <c r="K115" s="354"/>
      <c r="L115" s="354"/>
      <c r="M115" s="354"/>
      <c r="N115" s="354"/>
      <c r="O115" s="354"/>
      <c r="P115" s="354"/>
      <c r="Q115" s="99"/>
      <c r="R115" s="99"/>
      <c r="S115" s="99"/>
      <c r="T115" s="109"/>
      <c r="U115" s="109"/>
      <c r="V115" s="109"/>
      <c r="W115" s="109"/>
    </row>
    <row r="116" spans="1:23" ht="12.75">
      <c r="A116" s="350" t="s">
        <v>156</v>
      </c>
      <c r="B116" s="355"/>
      <c r="C116" s="355"/>
      <c r="D116" s="355"/>
      <c r="E116" s="355">
        <f>D118</f>
        <v>-17026</v>
      </c>
      <c r="F116" s="355">
        <f>E118</f>
        <v>-19760.122969902666</v>
      </c>
      <c r="G116" s="355">
        <f>F118</f>
        <v>-22732.326307865107</v>
      </c>
      <c r="H116" s="355">
        <f>G118</f>
        <v>-25952.6417289955</v>
      </c>
      <c r="I116" s="355">
        <f>H118</f>
        <v>-29436.599506284605</v>
      </c>
      <c r="J116" s="353"/>
      <c r="K116" s="354"/>
      <c r="L116" s="354"/>
      <c r="M116" s="354"/>
      <c r="N116" s="354"/>
      <c r="O116" s="354"/>
      <c r="P116" s="354"/>
      <c r="Q116" s="99"/>
      <c r="R116" s="99"/>
      <c r="S116" s="99"/>
      <c r="T116" s="109"/>
      <c r="U116" s="109"/>
      <c r="V116" s="109"/>
      <c r="W116" s="109"/>
    </row>
    <row r="117" spans="1:23" ht="12.75">
      <c r="A117" s="350" t="s">
        <v>158</v>
      </c>
      <c r="B117" s="355"/>
      <c r="C117" s="355"/>
      <c r="D117" s="355"/>
      <c r="E117" s="355">
        <f>-E134</f>
        <v>-2734.122969902668</v>
      </c>
      <c r="F117" s="355">
        <f>-F134</f>
        <v>-2972.20333796244</v>
      </c>
      <c r="G117" s="355">
        <f>-G134</f>
        <v>-3220.3154211303927</v>
      </c>
      <c r="H117" s="355">
        <f>-H134</f>
        <v>-3483.9577772891043</v>
      </c>
      <c r="I117" s="355">
        <f>-I134</f>
        <v>-3753.7390624502405</v>
      </c>
      <c r="J117" s="353"/>
      <c r="K117" s="354"/>
      <c r="L117" s="354"/>
      <c r="M117" s="354"/>
      <c r="N117" s="354"/>
      <c r="O117" s="354"/>
      <c r="P117" s="354"/>
      <c r="Q117" s="99"/>
      <c r="R117" s="99"/>
      <c r="S117" s="99"/>
      <c r="T117" s="109"/>
      <c r="U117" s="109"/>
      <c r="V117" s="109"/>
      <c r="W117" s="109"/>
    </row>
    <row r="118" spans="1:23" ht="12.75">
      <c r="A118" s="109" t="s">
        <v>157</v>
      </c>
      <c r="B118" s="300">
        <f>Data!E27</f>
        <v>-13983</v>
      </c>
      <c r="C118" s="300">
        <f>Data!F27</f>
        <v>-15442</v>
      </c>
      <c r="D118" s="300">
        <f>Data!G27</f>
        <v>-17026</v>
      </c>
      <c r="E118" s="300">
        <f>E116+E117</f>
        <v>-19760.122969902666</v>
      </c>
      <c r="F118" s="300">
        <f>F116+F117</f>
        <v>-22732.326307865107</v>
      </c>
      <c r="G118" s="300">
        <f>G116+G117</f>
        <v>-25952.6417289955</v>
      </c>
      <c r="H118" s="300">
        <f>H116+H117</f>
        <v>-29436.599506284605</v>
      </c>
      <c r="I118" s="300">
        <f>I116+I117</f>
        <v>-33190.33856873485</v>
      </c>
      <c r="J118" s="354"/>
      <c r="K118" s="354"/>
      <c r="L118" s="354"/>
      <c r="M118" s="354"/>
      <c r="N118" s="354"/>
      <c r="O118" s="354"/>
      <c r="P118" s="354"/>
      <c r="Q118" s="99"/>
      <c r="R118" s="99"/>
      <c r="S118" s="99"/>
      <c r="T118" s="109"/>
      <c r="U118" s="109"/>
      <c r="V118" s="109"/>
      <c r="W118" s="109"/>
    </row>
    <row r="119" spans="1:23" ht="12.75">
      <c r="A119" s="109"/>
      <c r="B119" s="355"/>
      <c r="C119" s="355"/>
      <c r="D119" s="355"/>
      <c r="E119" s="356"/>
      <c r="F119" s="356"/>
      <c r="G119" s="356"/>
      <c r="H119" s="356"/>
      <c r="I119" s="356"/>
      <c r="J119" s="354"/>
      <c r="K119" s="354"/>
      <c r="L119" s="354"/>
      <c r="M119" s="354"/>
      <c r="N119" s="354"/>
      <c r="O119" s="354"/>
      <c r="P119" s="354"/>
      <c r="Q119" s="99"/>
      <c r="R119" s="99"/>
      <c r="S119" s="99"/>
      <c r="T119" s="109"/>
      <c r="U119" s="109"/>
      <c r="V119" s="109"/>
      <c r="W119" s="109"/>
    </row>
    <row r="120" spans="1:23" ht="12.75">
      <c r="A120" s="350" t="s">
        <v>126</v>
      </c>
      <c r="B120" s="300">
        <f aca="true" t="shared" si="19" ref="B120:I120">B113+B118</f>
        <v>19058</v>
      </c>
      <c r="C120" s="300">
        <f t="shared" si="19"/>
        <v>19698</v>
      </c>
      <c r="D120" s="300">
        <f t="shared" si="19"/>
        <v>19136</v>
      </c>
      <c r="E120" s="357">
        <f t="shared" si="19"/>
        <v>19401.877030097334</v>
      </c>
      <c r="F120" s="357">
        <f t="shared" si="19"/>
        <v>19839.799526485614</v>
      </c>
      <c r="G120" s="357">
        <f t="shared" si="19"/>
        <v>20173.298439232552</v>
      </c>
      <c r="H120" s="357">
        <f t="shared" si="19"/>
        <v>20465.60166612755</v>
      </c>
      <c r="I120" s="357">
        <f t="shared" si="19"/>
        <v>20576.054085107462</v>
      </c>
      <c r="J120" s="354"/>
      <c r="K120" s="354"/>
      <c r="L120" s="354"/>
      <c r="M120" s="354"/>
      <c r="N120" s="354"/>
      <c r="O120" s="354"/>
      <c r="P120" s="354"/>
      <c r="Q120" s="99"/>
      <c r="R120" s="99"/>
      <c r="S120" s="99"/>
      <c r="T120" s="109"/>
      <c r="U120" s="109"/>
      <c r="V120" s="109"/>
      <c r="W120" s="109"/>
    </row>
    <row r="121" spans="1:23" ht="12.75">
      <c r="A121" s="350"/>
      <c r="B121" s="350"/>
      <c r="C121" s="350"/>
      <c r="D121" s="350"/>
      <c r="E121" s="109"/>
      <c r="F121" s="109"/>
      <c r="G121" s="358"/>
      <c r="H121" s="359"/>
      <c r="I121" s="359"/>
      <c r="J121" s="354"/>
      <c r="K121" s="354"/>
      <c r="L121" s="354"/>
      <c r="M121" s="354"/>
      <c r="N121" s="354"/>
      <c r="O121" s="354"/>
      <c r="P121" s="99"/>
      <c r="Q121" s="99"/>
      <c r="R121" s="99"/>
      <c r="S121" s="99"/>
      <c r="T121" s="109"/>
      <c r="U121" s="109"/>
      <c r="V121" s="109"/>
      <c r="W121" s="109"/>
    </row>
    <row r="122" spans="1:23" ht="12.75">
      <c r="A122" s="350"/>
      <c r="B122" s="350"/>
      <c r="C122" s="350"/>
      <c r="D122" s="350"/>
      <c r="E122" s="109"/>
      <c r="F122" s="109"/>
      <c r="G122" s="358"/>
      <c r="H122" s="359"/>
      <c r="I122" s="359"/>
      <c r="J122" s="354"/>
      <c r="K122" s="354"/>
      <c r="L122" s="354"/>
      <c r="M122" s="354"/>
      <c r="N122" s="354"/>
      <c r="O122" s="354"/>
      <c r="P122" s="99"/>
      <c r="Q122" s="99"/>
      <c r="R122" s="99"/>
      <c r="S122" s="99"/>
      <c r="T122" s="109"/>
      <c r="U122" s="109"/>
      <c r="V122" s="109"/>
      <c r="W122" s="109"/>
    </row>
    <row r="123" spans="1:23" ht="12.75">
      <c r="A123" s="350"/>
      <c r="B123" s="360"/>
      <c r="C123" s="361"/>
      <c r="D123" s="361"/>
      <c r="E123" s="523" t="str">
        <f>E110</f>
        <v>Year +1</v>
      </c>
      <c r="F123" s="523" t="str">
        <f>F110</f>
        <v>Year +2</v>
      </c>
      <c r="G123" s="523" t="str">
        <f>G110</f>
        <v>Year +3</v>
      </c>
      <c r="H123" s="523" t="str">
        <f>H110</f>
        <v>Year +4</v>
      </c>
      <c r="I123" s="523" t="str">
        <f>I110</f>
        <v>Year +5</v>
      </c>
      <c r="J123" s="354"/>
      <c r="K123" s="109"/>
      <c r="L123" s="109"/>
      <c r="M123" s="109"/>
      <c r="N123" s="109"/>
      <c r="O123" s="109"/>
      <c r="P123" s="109"/>
      <c r="Q123" s="109"/>
      <c r="R123" s="109"/>
      <c r="S123" s="109"/>
      <c r="T123" s="109"/>
      <c r="U123" s="109"/>
      <c r="V123" s="109"/>
      <c r="W123" s="109"/>
    </row>
    <row r="124" spans="1:23" ht="12.75">
      <c r="A124" s="350" t="s">
        <v>142</v>
      </c>
      <c r="B124" s="360"/>
      <c r="C124" s="361"/>
      <c r="D124" s="361"/>
      <c r="E124" s="362" t="s">
        <v>144</v>
      </c>
      <c r="F124" s="362"/>
      <c r="G124" s="109"/>
      <c r="H124" s="359"/>
      <c r="I124" s="359"/>
      <c r="J124" s="354"/>
      <c r="K124" s="109"/>
      <c r="L124" s="109"/>
      <c r="M124" s="109"/>
      <c r="N124" s="109"/>
      <c r="O124" s="109"/>
      <c r="P124" s="109"/>
      <c r="Q124" s="109"/>
      <c r="R124" s="109"/>
      <c r="S124" s="109"/>
      <c r="T124" s="109"/>
      <c r="U124" s="109"/>
      <c r="V124" s="109"/>
      <c r="W124" s="109"/>
    </row>
    <row r="125" spans="2:23" ht="12.75">
      <c r="B125" s="109"/>
      <c r="C125" s="327" t="s">
        <v>143</v>
      </c>
      <c r="D125" s="328">
        <f>D113</f>
        <v>36162</v>
      </c>
      <c r="E125" s="328">
        <f>$D$125/$D$142</f>
        <v>2524.6758295699983</v>
      </c>
      <c r="F125" s="328">
        <f>$D$125/$D$142</f>
        <v>2524.6758295699983</v>
      </c>
      <c r="G125" s="328">
        <f>$D$125/$D$142</f>
        <v>2524.6758295699983</v>
      </c>
      <c r="H125" s="328">
        <f>$D$125/$D$142</f>
        <v>2524.6758295699983</v>
      </c>
      <c r="I125" s="328">
        <f>$D$125/$D$142</f>
        <v>2524.6758295699983</v>
      </c>
      <c r="J125" s="252"/>
      <c r="K125" s="363" t="s">
        <v>212</v>
      </c>
      <c r="L125" s="362"/>
      <c r="M125" s="362"/>
      <c r="N125" s="362"/>
      <c r="O125" s="362"/>
      <c r="P125" s="362"/>
      <c r="Q125" s="362"/>
      <c r="R125" s="362"/>
      <c r="S125" s="109"/>
      <c r="T125" s="109"/>
      <c r="U125" s="109"/>
      <c r="V125" s="109"/>
      <c r="W125" s="109"/>
    </row>
    <row r="126" spans="2:23" ht="12.75">
      <c r="B126" s="109"/>
      <c r="C126" s="327" t="s">
        <v>127</v>
      </c>
      <c r="D126" s="328">
        <f>D120</f>
        <v>19136</v>
      </c>
      <c r="E126" s="328">
        <f>$D$120-E125</f>
        <v>16611.32417043</v>
      </c>
      <c r="F126" s="328">
        <f>E126-F125</f>
        <v>14086.648340860003</v>
      </c>
      <c r="G126" s="328">
        <f>F126-G125</f>
        <v>11561.972511290005</v>
      </c>
      <c r="H126" s="328">
        <f>G126-H125</f>
        <v>9037.296681720007</v>
      </c>
      <c r="I126" s="328">
        <f>H126-I125</f>
        <v>6512.620852150008</v>
      </c>
      <c r="J126" s="364"/>
      <c r="K126" s="17" t="s">
        <v>402</v>
      </c>
      <c r="L126" s="365"/>
      <c r="M126" s="365"/>
      <c r="N126" s="365"/>
      <c r="O126" s="365"/>
      <c r="P126" s="365"/>
      <c r="Q126" s="365"/>
      <c r="R126" s="365"/>
      <c r="S126" s="109"/>
      <c r="T126" s="109"/>
      <c r="U126" s="109"/>
      <c r="V126" s="109"/>
      <c r="W126" s="109"/>
    </row>
    <row r="127" spans="1:23" ht="12.75">
      <c r="A127" s="366"/>
      <c r="B127" s="109"/>
      <c r="C127" s="109"/>
      <c r="D127" s="328"/>
      <c r="E127" s="328"/>
      <c r="F127" s="328"/>
      <c r="G127" s="328"/>
      <c r="H127" s="328"/>
      <c r="I127" s="328"/>
      <c r="J127" s="99"/>
      <c r="K127" s="109"/>
      <c r="L127" s="109"/>
      <c r="M127" s="109"/>
      <c r="N127" s="109"/>
      <c r="O127" s="109"/>
      <c r="P127" s="109"/>
      <c r="Q127" s="109"/>
      <c r="R127" s="109"/>
      <c r="S127" s="109"/>
      <c r="T127" s="109"/>
      <c r="U127" s="109"/>
      <c r="V127" s="109"/>
      <c r="W127" s="109"/>
    </row>
    <row r="128" spans="1:23" ht="12.75">
      <c r="A128" s="109" t="s">
        <v>128</v>
      </c>
      <c r="B128" s="109"/>
      <c r="C128" s="109"/>
      <c r="D128" s="328"/>
      <c r="E128" s="328" t="s">
        <v>150</v>
      </c>
      <c r="F128" s="328"/>
      <c r="G128" s="328"/>
      <c r="H128" s="328"/>
      <c r="I128" s="328"/>
      <c r="J128" s="99"/>
      <c r="K128" s="109"/>
      <c r="L128" s="109"/>
      <c r="M128" s="109"/>
      <c r="N128" s="109"/>
      <c r="O128" s="109"/>
      <c r="P128" s="109"/>
      <c r="Q128" s="109"/>
      <c r="R128" s="109"/>
      <c r="S128" s="109"/>
      <c r="T128" s="109"/>
      <c r="U128" s="109"/>
      <c r="V128" s="109"/>
      <c r="W128" s="109"/>
    </row>
    <row r="129" spans="1:23" ht="12.75">
      <c r="A129" s="109"/>
      <c r="C129" s="327" t="s">
        <v>145</v>
      </c>
      <c r="D129" s="328">
        <f>E101</f>
        <v>3000</v>
      </c>
      <c r="E129" s="328">
        <f>$D$129/$D$142</f>
        <v>209.4471403326695</v>
      </c>
      <c r="F129" s="328">
        <f>$D$129/$D$142</f>
        <v>209.4471403326695</v>
      </c>
      <c r="G129" s="328">
        <f>$D$129/$D$142</f>
        <v>209.4471403326695</v>
      </c>
      <c r="H129" s="328">
        <f>$D$129/$D$142</f>
        <v>209.4471403326695</v>
      </c>
      <c r="I129" s="328">
        <f>$D$129/$D$142</f>
        <v>209.4471403326695</v>
      </c>
      <c r="J129" s="254"/>
      <c r="K129" s="367" t="s">
        <v>211</v>
      </c>
      <c r="L129" s="49"/>
      <c r="M129" s="49"/>
      <c r="N129" s="282"/>
      <c r="O129" s="282"/>
      <c r="P129" s="282"/>
      <c r="Q129" s="282"/>
      <c r="R129" s="282"/>
      <c r="S129" s="99"/>
      <c r="T129" s="99"/>
      <c r="U129" s="109"/>
      <c r="V129" s="109"/>
      <c r="W129" s="109"/>
    </row>
    <row r="130" spans="1:23" ht="12.75">
      <c r="A130" s="109"/>
      <c r="C130" s="327" t="s">
        <v>146</v>
      </c>
      <c r="D130" s="328">
        <f>F101</f>
        <v>3410.1258343507207</v>
      </c>
      <c r="E130" s="328"/>
      <c r="F130" s="328">
        <f>$D$130/$D$142</f>
        <v>238.08036805977235</v>
      </c>
      <c r="G130" s="328">
        <f>$D$130/$D$142</f>
        <v>238.08036805977235</v>
      </c>
      <c r="H130" s="328">
        <f>$D$130/$D$142</f>
        <v>238.08036805977235</v>
      </c>
      <c r="I130" s="328">
        <f>$D$130/$D$142</f>
        <v>238.08036805977235</v>
      </c>
      <c r="J130" s="254"/>
      <c r="K130" s="282"/>
      <c r="L130" s="49"/>
      <c r="M130" s="49"/>
      <c r="N130" s="282"/>
      <c r="O130" s="282"/>
      <c r="P130" s="282"/>
      <c r="Q130" s="282"/>
      <c r="R130" s="282"/>
      <c r="S130" s="99"/>
      <c r="T130" s="99"/>
      <c r="U130" s="109"/>
      <c r="V130" s="109"/>
      <c r="W130" s="109"/>
    </row>
    <row r="131" spans="1:23" ht="12.75">
      <c r="A131" s="109"/>
      <c r="C131" s="327" t="s">
        <v>147</v>
      </c>
      <c r="D131" s="328">
        <f>G101</f>
        <v>3553.8143338773302</v>
      </c>
      <c r="E131" s="328"/>
      <c r="F131" s="328"/>
      <c r="G131" s="328">
        <f>$D$131/$D$142</f>
        <v>248.1120831679525</v>
      </c>
      <c r="H131" s="328">
        <f>$D$131/$D$142</f>
        <v>248.1120831679525</v>
      </c>
      <c r="I131" s="328">
        <f>$D$131/$D$142</f>
        <v>248.1120831679525</v>
      </c>
      <c r="J131" s="254"/>
      <c r="K131" s="282"/>
      <c r="L131" s="49"/>
      <c r="M131" s="49"/>
      <c r="N131" s="282"/>
      <c r="O131" s="282"/>
      <c r="P131" s="282"/>
      <c r="Q131" s="282"/>
      <c r="R131" s="282"/>
      <c r="S131" s="282"/>
      <c r="T131" s="99"/>
      <c r="U131" s="109"/>
      <c r="V131" s="109"/>
      <c r="W131" s="109"/>
    </row>
    <row r="132" spans="1:23" ht="12.75">
      <c r="A132" s="109"/>
      <c r="C132" s="327" t="s">
        <v>148</v>
      </c>
      <c r="D132" s="328">
        <f>H101</f>
        <v>3776.2610041841003</v>
      </c>
      <c r="E132" s="328"/>
      <c r="F132" s="328"/>
      <c r="G132" s="328"/>
      <c r="H132" s="328">
        <f>$D$132/$D$142</f>
        <v>263.64235615871155</v>
      </c>
      <c r="I132" s="328">
        <f>$D$132/$D$142</f>
        <v>263.64235615871155</v>
      </c>
      <c r="J132" s="254"/>
      <c r="K132" s="282"/>
      <c r="L132" s="49"/>
      <c r="M132" s="49"/>
      <c r="N132" s="282"/>
      <c r="O132" s="282"/>
      <c r="P132" s="282"/>
      <c r="Q132" s="282"/>
      <c r="R132" s="282"/>
      <c r="S132" s="282"/>
      <c r="T132" s="99"/>
      <c r="U132" s="109"/>
      <c r="V132" s="109"/>
      <c r="W132" s="109"/>
    </row>
    <row r="133" spans="1:23" ht="12.75">
      <c r="A133" s="109"/>
      <c r="C133" s="327" t="s">
        <v>149</v>
      </c>
      <c r="D133" s="328">
        <f>I101</f>
        <v>3864.191481430159</v>
      </c>
      <c r="E133" s="328"/>
      <c r="F133" s="328"/>
      <c r="G133" s="328"/>
      <c r="H133" s="328"/>
      <c r="I133" s="328">
        <f>$D$133/$D$142</f>
        <v>269.78128516113617</v>
      </c>
      <c r="J133" s="254"/>
      <c r="K133" s="282"/>
      <c r="L133" s="49"/>
      <c r="M133" s="49"/>
      <c r="N133" s="282"/>
      <c r="O133" s="282"/>
      <c r="P133" s="282"/>
      <c r="Q133" s="282"/>
      <c r="R133" s="282"/>
      <c r="S133" s="282"/>
      <c r="T133" s="99"/>
      <c r="U133" s="109"/>
      <c r="V133" s="109"/>
      <c r="W133" s="109"/>
    </row>
    <row r="134" spans="1:23" ht="12.75">
      <c r="A134" s="109" t="s">
        <v>129</v>
      </c>
      <c r="B134" s="109"/>
      <c r="C134" s="109"/>
      <c r="D134" s="328"/>
      <c r="E134" s="368">
        <f>E125+SUM(E129:E133)</f>
        <v>2734.122969902668</v>
      </c>
      <c r="F134" s="368">
        <f>F125+SUM(F129:F133)</f>
        <v>2972.20333796244</v>
      </c>
      <c r="G134" s="368">
        <f>G125+SUM(G129:G133)</f>
        <v>3220.3154211303927</v>
      </c>
      <c r="H134" s="368">
        <f>H125+SUM(H129:H133)</f>
        <v>3483.9577772891043</v>
      </c>
      <c r="I134" s="368">
        <f>I125+SUM(I129:I133)</f>
        <v>3753.7390624502405</v>
      </c>
      <c r="J134" s="254"/>
      <c r="K134" s="282"/>
      <c r="L134" s="49"/>
      <c r="M134" s="49"/>
      <c r="N134" s="282"/>
      <c r="O134" s="282"/>
      <c r="P134" s="282"/>
      <c r="Q134" s="282"/>
      <c r="R134" s="282"/>
      <c r="S134" s="99"/>
      <c r="T134" s="99"/>
      <c r="U134" s="109"/>
      <c r="V134" s="109"/>
      <c r="W134" s="109"/>
    </row>
    <row r="135" spans="1:23" ht="12.75">
      <c r="A135" s="109"/>
      <c r="B135" s="109"/>
      <c r="C135" s="109"/>
      <c r="D135" s="109"/>
      <c r="E135" s="109"/>
      <c r="F135" s="109"/>
      <c r="G135" s="109"/>
      <c r="H135" s="109"/>
      <c r="I135" s="109"/>
      <c r="J135" s="99"/>
      <c r="K135" s="99"/>
      <c r="L135" s="49"/>
      <c r="M135" s="49"/>
      <c r="N135" s="99"/>
      <c r="O135" s="99"/>
      <c r="P135" s="99"/>
      <c r="Q135" s="99"/>
      <c r="R135" s="99"/>
      <c r="S135" s="99"/>
      <c r="T135" s="99"/>
      <c r="U135" s="109"/>
      <c r="V135" s="109"/>
      <c r="W135" s="109"/>
    </row>
    <row r="136" spans="1:23" ht="12.75">
      <c r="A136" s="109" t="s">
        <v>130</v>
      </c>
      <c r="B136" s="670">
        <f>B110</f>
        <v>2010</v>
      </c>
      <c r="C136" s="670">
        <f>C110</f>
        <v>2011</v>
      </c>
      <c r="D136" s="670">
        <f>D110</f>
        <v>2012</v>
      </c>
      <c r="G136" s="109"/>
      <c r="H136" s="109"/>
      <c r="I136" s="109"/>
      <c r="J136" s="99"/>
      <c r="K136" s="99"/>
      <c r="L136" s="99"/>
      <c r="M136" s="99"/>
      <c r="N136" s="99"/>
      <c r="O136" s="282"/>
      <c r="P136" s="99"/>
      <c r="Q136" s="99"/>
      <c r="R136" s="99"/>
      <c r="S136" s="99"/>
      <c r="T136" s="99"/>
      <c r="U136" s="109"/>
      <c r="V136" s="109"/>
      <c r="W136" s="109"/>
    </row>
    <row r="137" spans="2:23" ht="12.75">
      <c r="B137" s="109"/>
      <c r="C137" s="109"/>
      <c r="D137" s="109"/>
      <c r="G137" s="109"/>
      <c r="H137" s="109"/>
      <c r="I137" s="109"/>
      <c r="J137" s="99"/>
      <c r="K137" s="99"/>
      <c r="L137" s="99"/>
      <c r="M137" s="99"/>
      <c r="N137" s="99"/>
      <c r="O137" s="347"/>
      <c r="P137" s="99"/>
      <c r="Q137" s="99"/>
      <c r="R137" s="99"/>
      <c r="S137" s="99"/>
      <c r="T137" s="99"/>
      <c r="U137" s="109"/>
      <c r="V137" s="109"/>
      <c r="W137" s="99"/>
    </row>
    <row r="138" spans="1:23" ht="12.75">
      <c r="A138" s="109" t="s">
        <v>239</v>
      </c>
      <c r="B138" s="369">
        <f>B113</f>
        <v>33041</v>
      </c>
      <c r="C138" s="369">
        <f>C113</f>
        <v>35140</v>
      </c>
      <c r="D138" s="369">
        <f>D113</f>
        <v>36162</v>
      </c>
      <c r="G138" s="109"/>
      <c r="H138" s="109"/>
      <c r="I138" s="109"/>
      <c r="J138" s="99"/>
      <c r="K138" s="49" t="s">
        <v>210</v>
      </c>
      <c r="L138" s="99"/>
      <c r="M138" s="99"/>
      <c r="N138" s="99"/>
      <c r="O138" s="99"/>
      <c r="P138" s="99"/>
      <c r="Q138" s="99"/>
      <c r="R138" s="99"/>
      <c r="S138" s="99"/>
      <c r="T138" s="99"/>
      <c r="U138" s="109"/>
      <c r="V138" s="109"/>
      <c r="W138" s="99"/>
    </row>
    <row r="139" spans="1:23" ht="12.75">
      <c r="A139" s="109" t="s">
        <v>139</v>
      </c>
      <c r="B139" s="370"/>
      <c r="C139" s="370">
        <f>(B138+C138)/2</f>
        <v>34090.5</v>
      </c>
      <c r="D139" s="370">
        <f>(C138+D138)/2</f>
        <v>35651</v>
      </c>
      <c r="G139" s="371"/>
      <c r="H139" s="97"/>
      <c r="I139" s="97"/>
      <c r="J139" s="99"/>
      <c r="K139" s="99"/>
      <c r="L139" s="99"/>
      <c r="M139" s="99"/>
      <c r="N139" s="99"/>
      <c r="O139" s="99"/>
      <c r="P139" s="99"/>
      <c r="Q139" s="99"/>
      <c r="R139" s="99"/>
      <c r="S139" s="99"/>
      <c r="T139" s="99"/>
      <c r="U139" s="97"/>
      <c r="V139" s="97"/>
      <c r="W139" s="99"/>
    </row>
    <row r="140" spans="1:23" ht="12.75">
      <c r="A140" s="109" t="s">
        <v>131</v>
      </c>
      <c r="B140" s="372">
        <f>Data!E143</f>
        <v>2124</v>
      </c>
      <c r="C140" s="372">
        <f>Data!F143</f>
        <v>2476</v>
      </c>
      <c r="D140" s="372">
        <f>Data!G143</f>
        <v>2489</v>
      </c>
      <c r="G140" s="97"/>
      <c r="H140" s="97"/>
      <c r="I140" s="97"/>
      <c r="J140" s="99"/>
      <c r="K140" s="97"/>
      <c r="L140" s="97"/>
      <c r="M140" s="97"/>
      <c r="N140" s="97"/>
      <c r="O140" s="97"/>
      <c r="P140" s="97"/>
      <c r="Q140" s="97"/>
      <c r="R140" s="97"/>
      <c r="S140" s="97"/>
      <c r="T140" s="97"/>
      <c r="U140" s="97"/>
      <c r="V140" s="97"/>
      <c r="W140" s="336"/>
    </row>
    <row r="141" spans="1:23" ht="12.75">
      <c r="A141" s="109" t="s">
        <v>240</v>
      </c>
      <c r="B141" s="373"/>
      <c r="C141" s="373">
        <f>C139/C140</f>
        <v>13.768376413570275</v>
      </c>
      <c r="D141" s="632">
        <f>D139/D140</f>
        <v>14.32342306147047</v>
      </c>
      <c r="G141" s="109"/>
      <c r="H141" s="109"/>
      <c r="I141" s="109"/>
      <c r="J141" s="99"/>
      <c r="K141" s="109"/>
      <c r="L141" s="109"/>
      <c r="M141" s="109"/>
      <c r="N141" s="109"/>
      <c r="O141" s="109"/>
      <c r="P141" s="109"/>
      <c r="Q141" s="109"/>
      <c r="R141" s="109"/>
      <c r="S141" s="109"/>
      <c r="T141" s="109"/>
      <c r="U141" s="109"/>
      <c r="V141" s="109"/>
      <c r="W141" s="99"/>
    </row>
    <row r="142" spans="1:23" ht="12.75">
      <c r="A142" s="109" t="s">
        <v>141</v>
      </c>
      <c r="B142" s="109"/>
      <c r="C142" s="109"/>
      <c r="D142" s="633">
        <f>D141</f>
        <v>14.32342306147047</v>
      </c>
      <c r="E142" s="109"/>
      <c r="F142" s="109"/>
      <c r="G142" s="109"/>
      <c r="H142" s="109"/>
      <c r="I142" s="109"/>
      <c r="J142" s="99"/>
      <c r="K142" s="109"/>
      <c r="L142" s="109"/>
      <c r="M142" s="109"/>
      <c r="N142" s="109"/>
      <c r="O142" s="109"/>
      <c r="P142" s="109"/>
      <c r="Q142" s="109"/>
      <c r="R142" s="109"/>
      <c r="S142" s="109"/>
      <c r="T142" s="109"/>
      <c r="U142" s="109"/>
      <c r="V142" s="109"/>
      <c r="W142" s="99"/>
    </row>
    <row r="143" spans="2:23" ht="12.75">
      <c r="B143" s="97"/>
      <c r="C143" s="97"/>
      <c r="D143" s="109" t="s">
        <v>140</v>
      </c>
      <c r="E143" s="109"/>
      <c r="F143" s="109"/>
      <c r="G143" s="109"/>
      <c r="H143" s="109"/>
      <c r="I143" s="109"/>
      <c r="J143" s="99"/>
      <c r="K143" s="109"/>
      <c r="L143" s="109"/>
      <c r="M143" s="109"/>
      <c r="N143" s="109"/>
      <c r="O143" s="109"/>
      <c r="P143" s="109"/>
      <c r="Q143" s="109"/>
      <c r="R143" s="109"/>
      <c r="S143" s="109"/>
      <c r="T143" s="109"/>
      <c r="U143" s="109"/>
      <c r="V143" s="109"/>
      <c r="W143" s="99"/>
    </row>
    <row r="144" spans="5:23" ht="12.75">
      <c r="E144" s="97"/>
      <c r="F144" s="97"/>
      <c r="G144" s="97"/>
      <c r="H144" s="97"/>
      <c r="I144" s="97"/>
      <c r="J144" s="99"/>
      <c r="K144" s="97"/>
      <c r="L144" s="97"/>
      <c r="M144" s="97"/>
      <c r="N144" s="97"/>
      <c r="O144" s="97"/>
      <c r="P144" s="97"/>
      <c r="Q144" s="97"/>
      <c r="R144" s="97"/>
      <c r="S144" s="97"/>
      <c r="T144" s="97"/>
      <c r="U144" s="97"/>
      <c r="V144" s="97"/>
      <c r="W144" s="99"/>
    </row>
    <row r="145" ht="12.75">
      <c r="J145" s="49"/>
    </row>
    <row r="146" ht="12.75">
      <c r="J146" s="49"/>
    </row>
    <row r="147" ht="12.75">
      <c r="J147" s="49"/>
    </row>
    <row r="148" ht="12.75">
      <c r="J148" s="49"/>
    </row>
  </sheetData>
  <sheetProtection/>
  <printOptions/>
  <pageMargins left="0.75" right="0.75" top="1" bottom="1" header="0.5" footer="0.5"/>
  <pageSetup horizontalDpi="600" verticalDpi="600" orientation="portrait" scale="73"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T388"/>
  <sheetViews>
    <sheetView zoomScale="90" zoomScaleNormal="90" workbookViewId="0" topLeftCell="A64">
      <selection activeCell="B173" sqref="B173:I173"/>
    </sheetView>
  </sheetViews>
  <sheetFormatPr defaultColWidth="9.140625" defaultRowHeight="12.75"/>
  <cols>
    <col min="1" max="1" width="47.00390625" style="17" customWidth="1"/>
    <col min="2" max="10" width="9.7109375" style="17" customWidth="1"/>
    <col min="11" max="11" width="9.140625" style="17" customWidth="1"/>
    <col min="12" max="12" width="12.00390625" style="17" customWidth="1"/>
    <col min="13" max="13" width="12.140625" style="17" customWidth="1"/>
    <col min="14" max="15" width="9.140625" style="17" customWidth="1"/>
    <col min="16" max="16" width="11.00390625" style="17" customWidth="1"/>
    <col min="17" max="16384" width="9.140625" style="17" customWidth="1"/>
  </cols>
  <sheetData>
    <row r="1" spans="1:16" ht="12.75">
      <c r="A1" s="176" t="str">
        <f>Data!A1</f>
        <v>Financial Statement Analysis Package (FSAP): Version 8.0</v>
      </c>
      <c r="B1" s="177"/>
      <c r="C1" s="177"/>
      <c r="D1" s="177"/>
      <c r="E1" s="177"/>
      <c r="F1" s="177"/>
      <c r="G1" s="177"/>
      <c r="H1" s="177"/>
      <c r="I1" s="177"/>
      <c r="J1" s="178"/>
      <c r="L1" s="5"/>
      <c r="M1" s="6"/>
      <c r="N1" s="6"/>
      <c r="O1" s="6"/>
      <c r="P1" s="7"/>
    </row>
    <row r="2" spans="1:16" ht="12.75">
      <c r="A2" s="9" t="str">
        <f>Data!A2</f>
        <v>Financial Reporting, Financial Statement Analysis, and Valuation: A Strategic Perspective, 8th Edition</v>
      </c>
      <c r="B2" s="179"/>
      <c r="C2" s="179"/>
      <c r="D2" s="179"/>
      <c r="E2" s="179"/>
      <c r="F2" s="179"/>
      <c r="G2" s="179"/>
      <c r="H2" s="179"/>
      <c r="I2" s="179"/>
      <c r="J2" s="74"/>
      <c r="L2" s="9" t="s">
        <v>413</v>
      </c>
      <c r="M2" s="10"/>
      <c r="N2" s="10"/>
      <c r="O2" s="10"/>
      <c r="P2" s="11"/>
    </row>
    <row r="3" spans="1:16" ht="13.5" thickBot="1">
      <c r="A3" s="12" t="s">
        <v>373</v>
      </c>
      <c r="B3" s="124"/>
      <c r="C3" s="512"/>
      <c r="D3" s="124"/>
      <c r="E3" s="124"/>
      <c r="F3" s="124"/>
      <c r="G3" s="124"/>
      <c r="H3" s="124"/>
      <c r="I3" s="124"/>
      <c r="J3" s="125"/>
      <c r="L3" s="15"/>
      <c r="M3" s="13"/>
      <c r="N3" s="13"/>
      <c r="O3" s="13"/>
      <c r="P3" s="14"/>
    </row>
    <row r="4" spans="12:19" ht="12.75">
      <c r="L4" s="28" t="s">
        <v>548</v>
      </c>
      <c r="M4" s="28"/>
      <c r="N4" s="28"/>
      <c r="O4" s="28"/>
      <c r="P4" s="28"/>
      <c r="Q4" s="28"/>
      <c r="R4" s="507"/>
      <c r="S4" s="508"/>
    </row>
    <row r="5" ht="12.75"/>
    <row r="6" spans="1:12" ht="12.75">
      <c r="A6" s="18" t="s">
        <v>535</v>
      </c>
      <c r="L6" s="109" t="s">
        <v>244</v>
      </c>
    </row>
    <row r="7" ht="12.75">
      <c r="L7" s="180" t="s">
        <v>1</v>
      </c>
    </row>
    <row r="8" ht="12.75"/>
    <row r="9" spans="1:10" ht="12.75">
      <c r="A9" s="513" t="s">
        <v>474</v>
      </c>
      <c r="B9" s="182" t="s">
        <v>28</v>
      </c>
      <c r="C9" s="183"/>
      <c r="D9" s="183"/>
      <c r="E9" s="184"/>
      <c r="F9" s="185"/>
      <c r="G9" s="185"/>
      <c r="H9" s="185"/>
      <c r="I9" s="185"/>
      <c r="J9" s="186"/>
    </row>
    <row r="10" spans="1:10" ht="12.75">
      <c r="A10" s="187" t="str">
        <f>Data!A9</f>
        <v>Analyst Name:</v>
      </c>
      <c r="B10" s="188" t="str">
        <f>Data!B9</f>
        <v>Wahlen, Baginski &amp; Bradshaw</v>
      </c>
      <c r="C10" s="189"/>
      <c r="D10" s="190"/>
      <c r="E10" s="191"/>
      <c r="F10" s="191"/>
      <c r="G10" s="191"/>
      <c r="H10" s="191"/>
      <c r="I10" s="191"/>
      <c r="J10" s="192"/>
    </row>
    <row r="11" spans="1:10" ht="12.75">
      <c r="A11" s="187" t="str">
        <f>Data!A10</f>
        <v>Company Name:</v>
      </c>
      <c r="B11" s="188" t="str">
        <f>Data!B10</f>
        <v>PepsiCo</v>
      </c>
      <c r="C11" s="185"/>
      <c r="D11" s="185"/>
      <c r="E11" s="191"/>
      <c r="F11" s="191"/>
      <c r="G11" s="191"/>
      <c r="H11" s="191"/>
      <c r="I11" s="191"/>
      <c r="J11" s="192"/>
    </row>
    <row r="12" spans="1:10" ht="12.75">
      <c r="A12" s="193"/>
      <c r="B12" s="193"/>
      <c r="C12" s="193"/>
      <c r="D12" s="193"/>
      <c r="E12" s="194"/>
      <c r="F12" s="194"/>
      <c r="G12" s="194"/>
      <c r="H12" s="194"/>
      <c r="I12" s="194"/>
      <c r="J12" s="194"/>
    </row>
    <row r="13" spans="1:10" ht="12.75">
      <c r="A13" s="193"/>
      <c r="B13" s="195" t="s">
        <v>302</v>
      </c>
      <c r="C13" s="193"/>
      <c r="D13" s="193"/>
      <c r="E13" s="196" t="s">
        <v>302</v>
      </c>
      <c r="F13" s="194"/>
      <c r="G13" s="194"/>
      <c r="H13" s="194"/>
      <c r="I13" s="194"/>
      <c r="J13" s="194"/>
    </row>
    <row r="14" spans="1:12" ht="12.75">
      <c r="A14" s="193"/>
      <c r="B14" s="195" t="s">
        <v>475</v>
      </c>
      <c r="C14" s="193"/>
      <c r="D14" s="193"/>
      <c r="E14" s="197" t="s">
        <v>476</v>
      </c>
      <c r="F14" s="194"/>
      <c r="G14" s="194"/>
      <c r="H14" s="194"/>
      <c r="I14" s="194"/>
      <c r="J14" s="198" t="s">
        <v>24</v>
      </c>
      <c r="L14" s="109" t="s">
        <v>246</v>
      </c>
    </row>
    <row r="15" spans="1:12" ht="12.75">
      <c r="A15" s="193"/>
      <c r="B15" s="193" t="s">
        <v>26</v>
      </c>
      <c r="C15" s="193"/>
      <c r="D15" s="193"/>
      <c r="E15" s="199" t="s">
        <v>478</v>
      </c>
      <c r="F15" s="194"/>
      <c r="G15" s="194"/>
      <c r="H15" s="194"/>
      <c r="I15" s="200" t="s">
        <v>25</v>
      </c>
      <c r="J15" s="201">
        <f>Valuation!$F$30</f>
        <v>0.03</v>
      </c>
      <c r="L15" s="180" t="s">
        <v>0</v>
      </c>
    </row>
    <row r="16" spans="1:10" ht="12.75">
      <c r="A16" s="193"/>
      <c r="B16" s="193" t="s">
        <v>27</v>
      </c>
      <c r="C16" s="193"/>
      <c r="D16" s="193"/>
      <c r="E16" s="199" t="s">
        <v>480</v>
      </c>
      <c r="F16" s="194"/>
      <c r="G16" s="194"/>
      <c r="H16" s="194"/>
      <c r="I16" s="200" t="s">
        <v>481</v>
      </c>
      <c r="J16" s="202">
        <f>1+$J$15</f>
        <v>1.03</v>
      </c>
    </row>
    <row r="17" spans="1:10" ht="13.5" thickBot="1">
      <c r="A17" s="203"/>
      <c r="B17" s="204"/>
      <c r="C17" s="205"/>
      <c r="D17" s="205"/>
      <c r="E17" s="206"/>
      <c r="F17" s="206"/>
      <c r="G17" s="206"/>
      <c r="H17" s="206"/>
      <c r="I17" s="206"/>
      <c r="J17" s="206"/>
    </row>
    <row r="18" spans="1:12" ht="13.5" thickTop="1">
      <c r="A18" s="203"/>
      <c r="B18" s="207" t="s">
        <v>482</v>
      </c>
      <c r="C18" s="208"/>
      <c r="D18" s="208"/>
      <c r="E18" s="209" t="s">
        <v>483</v>
      </c>
      <c r="F18" s="210"/>
      <c r="G18" s="210"/>
      <c r="H18" s="210"/>
      <c r="I18" s="210"/>
      <c r="J18" s="209"/>
      <c r="L18" s="109" t="s">
        <v>244</v>
      </c>
    </row>
    <row r="19" spans="1:12" ht="12.75">
      <c r="A19" s="211" t="s">
        <v>19</v>
      </c>
      <c r="B19" s="212">
        <f>Data!E11</f>
        <v>2010</v>
      </c>
      <c r="C19" s="212">
        <f>Data!F11</f>
        <v>2011</v>
      </c>
      <c r="D19" s="212">
        <f>Data!G11</f>
        <v>2012</v>
      </c>
      <c r="E19" s="213" t="s">
        <v>484</v>
      </c>
      <c r="F19" s="213" t="s">
        <v>485</v>
      </c>
      <c r="G19" s="213" t="s">
        <v>486</v>
      </c>
      <c r="H19" s="213" t="s">
        <v>487</v>
      </c>
      <c r="I19" s="213" t="s">
        <v>488</v>
      </c>
      <c r="J19" s="213" t="s">
        <v>489</v>
      </c>
      <c r="L19" s="180" t="s">
        <v>1</v>
      </c>
    </row>
    <row r="20" spans="1:10" ht="12.75">
      <c r="A20" s="214" t="s">
        <v>490</v>
      </c>
      <c r="B20" s="215"/>
      <c r="C20" s="215"/>
      <c r="D20" s="215"/>
      <c r="E20" s="51"/>
      <c r="F20" s="51"/>
      <c r="G20" s="51"/>
      <c r="H20" s="51"/>
      <c r="I20" s="51"/>
      <c r="J20" s="51"/>
    </row>
    <row r="21" spans="1:12" ht="12.75">
      <c r="A21" s="211" t="str">
        <f>Data!A65</f>
        <v>Revenues</v>
      </c>
      <c r="B21" s="216">
        <f>Data!E65</f>
        <v>57838</v>
      </c>
      <c r="C21" s="216">
        <f>Data!F65</f>
        <v>66504</v>
      </c>
      <c r="D21" s="216">
        <f>Data!G65</f>
        <v>65492</v>
      </c>
      <c r="E21" s="525">
        <f>'Forecast Development'!E21</f>
        <v>68198.42020000001</v>
      </c>
      <c r="F21" s="525">
        <f>'Forecast Development'!F21</f>
        <v>71044.28821564002</v>
      </c>
      <c r="G21" s="525">
        <f>'Forecast Development'!G21</f>
        <v>74037.79862244437</v>
      </c>
      <c r="H21" s="525">
        <f>'Forecast Development'!H21</f>
        <v>78672.10425383542</v>
      </c>
      <c r="I21" s="525">
        <f>'Forecast Development'!I21</f>
        <v>80503.98919646164</v>
      </c>
      <c r="J21" s="218">
        <f>I21*$J$16</f>
        <v>82919.10887235549</v>
      </c>
      <c r="L21" s="109" t="s">
        <v>2</v>
      </c>
    </row>
    <row r="22" spans="1:12" ht="12.75">
      <c r="A22" s="219" t="s">
        <v>491</v>
      </c>
      <c r="B22" s="220">
        <f>B21/B$21</f>
        <v>1</v>
      </c>
      <c r="C22" s="220">
        <f>C21/C$21</f>
        <v>1</v>
      </c>
      <c r="D22" s="220">
        <f>D21/D$21</f>
        <v>1</v>
      </c>
      <c r="E22" s="221">
        <f>E21/D21-1</f>
        <v>0.041324439626214016</v>
      </c>
      <c r="F22" s="221">
        <f>F21/E21-1</f>
        <v>0.041729236649385104</v>
      </c>
      <c r="G22" s="221">
        <f>G21/F21-1</f>
        <v>0.04213583501207285</v>
      </c>
      <c r="H22" s="221">
        <f>H21/G21-1</f>
        <v>0.06259377936158916</v>
      </c>
      <c r="I22" s="221">
        <f>I21/H21-1</f>
        <v>0.023285063492335834</v>
      </c>
      <c r="J22" s="222"/>
      <c r="L22" s="180" t="s">
        <v>3</v>
      </c>
    </row>
    <row r="23" spans="1:10" ht="12.75">
      <c r="A23" s="219" t="s">
        <v>492</v>
      </c>
      <c r="B23" s="220"/>
      <c r="C23" s="220">
        <f>IF(ISERROR(C21/B21-1),"",C21/B21-1)</f>
        <v>0.14983229018984057</v>
      </c>
      <c r="D23" s="220">
        <f>IF(ISERROR(D21/C21-1),"",D21/C21-1)</f>
        <v>-0.015217129796703976</v>
      </c>
      <c r="E23" s="223" t="s">
        <v>118</v>
      </c>
      <c r="F23" s="224"/>
      <c r="G23" s="224"/>
      <c r="H23" s="224"/>
      <c r="I23" s="224"/>
      <c r="J23" s="222"/>
    </row>
    <row r="24" spans="1:10" ht="12.75">
      <c r="A24" s="211" t="str">
        <f>Data!A66</f>
        <v>&lt;Cost of goods sold&gt;</v>
      </c>
      <c r="B24" s="216">
        <f>Data!E66</f>
        <v>-26575</v>
      </c>
      <c r="C24" s="216">
        <f>Data!F66</f>
        <v>-31593</v>
      </c>
      <c r="D24" s="216">
        <f>Data!G66</f>
        <v>-31291</v>
      </c>
      <c r="E24" s="525">
        <f>E$21*E25</f>
        <v>-32667.043275800002</v>
      </c>
      <c r="F24" s="525">
        <f>F$21*F25</f>
        <v>-34101.25834350721</v>
      </c>
      <c r="G24" s="525">
        <f>G$21*G25</f>
        <v>-35612.181137395746</v>
      </c>
      <c r="H24" s="525">
        <f>H$21*H25</f>
        <v>-37919.954250348674</v>
      </c>
      <c r="I24" s="525">
        <f>I$21*I25</f>
        <v>-38883.42678189097</v>
      </c>
      <c r="J24" s="218">
        <f>I24*$J$16</f>
        <v>-40049.9295853477</v>
      </c>
    </row>
    <row r="25" spans="1:10" ht="12.75">
      <c r="A25" s="219" t="s">
        <v>491</v>
      </c>
      <c r="B25" s="220">
        <f>B24/B$21</f>
        <v>-0.45947301082333414</v>
      </c>
      <c r="C25" s="220">
        <f>C24/C$21</f>
        <v>-0.47505413208228076</v>
      </c>
      <c r="D25" s="220">
        <f>D24/D$21</f>
        <v>-0.4777835460819642</v>
      </c>
      <c r="E25" s="221">
        <v>-0.479</v>
      </c>
      <c r="F25" s="221">
        <v>-0.48</v>
      </c>
      <c r="G25" s="221">
        <v>-0.481</v>
      </c>
      <c r="H25" s="221">
        <v>-0.482</v>
      </c>
      <c r="I25" s="221">
        <v>-0.483</v>
      </c>
      <c r="J25" s="222"/>
    </row>
    <row r="26" spans="1:10" ht="12.75">
      <c r="A26" s="219" t="s">
        <v>492</v>
      </c>
      <c r="B26" s="220"/>
      <c r="C26" s="220">
        <f>IF(ISERROR(C24/B24-1),"",C24/B24-1)</f>
        <v>0.18882408278457197</v>
      </c>
      <c r="D26" s="220">
        <f>IF(ISERROR(D24/C24-1),"",D24/C24-1)</f>
        <v>-0.009559079542936777</v>
      </c>
      <c r="E26" s="223" t="s">
        <v>340</v>
      </c>
      <c r="F26" s="224"/>
      <c r="G26" s="224"/>
      <c r="H26" s="224"/>
      <c r="I26" s="224"/>
      <c r="J26" s="222"/>
    </row>
    <row r="27" spans="1:10" ht="12.75">
      <c r="A27" s="211" t="str">
        <f>Data!A67</f>
        <v>  Gross Profit</v>
      </c>
      <c r="B27" s="225">
        <f>B21+B24</f>
        <v>31263</v>
      </c>
      <c r="C27" s="225">
        <f aca="true" t="shared" si="0" ref="C27:J27">C21+C24</f>
        <v>34911</v>
      </c>
      <c r="D27" s="225">
        <f t="shared" si="0"/>
        <v>34201</v>
      </c>
      <c r="E27" s="226">
        <f t="shared" si="0"/>
        <v>35531.376924200005</v>
      </c>
      <c r="F27" s="226">
        <f t="shared" si="0"/>
        <v>36943.02987213281</v>
      </c>
      <c r="G27" s="226">
        <f t="shared" si="0"/>
        <v>38425.61748504863</v>
      </c>
      <c r="H27" s="226">
        <f t="shared" si="0"/>
        <v>40752.15000348675</v>
      </c>
      <c r="I27" s="226">
        <f t="shared" si="0"/>
        <v>41620.56241457067</v>
      </c>
      <c r="J27" s="226">
        <f t="shared" si="0"/>
        <v>42869.179287007784</v>
      </c>
    </row>
    <row r="28" spans="1:10" ht="12.75">
      <c r="A28" s="219" t="s">
        <v>491</v>
      </c>
      <c r="B28" s="220">
        <f>B27/B$21</f>
        <v>0.5405269891766659</v>
      </c>
      <c r="C28" s="220">
        <f>C27/C$21</f>
        <v>0.5249458679177192</v>
      </c>
      <c r="D28" s="220">
        <f>D27/D$21</f>
        <v>0.5222164539180358</v>
      </c>
      <c r="E28" s="220">
        <f aca="true" t="shared" si="1" ref="E28:J28">E27/E$21</f>
        <v>0.521</v>
      </c>
      <c r="F28" s="220">
        <f t="shared" si="1"/>
        <v>0.52</v>
      </c>
      <c r="G28" s="220">
        <f t="shared" si="1"/>
        <v>0.519</v>
      </c>
      <c r="H28" s="220">
        <f t="shared" si="1"/>
        <v>0.518</v>
      </c>
      <c r="I28" s="220">
        <f t="shared" si="1"/>
        <v>0.517</v>
      </c>
      <c r="J28" s="220">
        <f t="shared" si="1"/>
        <v>0.517</v>
      </c>
    </row>
    <row r="29" spans="1:10" ht="12.75">
      <c r="A29" s="219" t="s">
        <v>492</v>
      </c>
      <c r="B29" s="220"/>
      <c r="C29" s="220">
        <f aca="true" t="shared" si="2" ref="C29:I29">IF(ISERROR(C27/B27-1),"",C27/B27-1)</f>
        <v>0.11668745801746483</v>
      </c>
      <c r="D29" s="220">
        <f t="shared" si="2"/>
        <v>-0.02033742946349293</v>
      </c>
      <c r="E29" s="220">
        <f t="shared" si="2"/>
        <v>0.038898772673313875</v>
      </c>
      <c r="F29" s="220">
        <f t="shared" si="2"/>
        <v>0.03972975634871445</v>
      </c>
      <c r="G29" s="220">
        <f t="shared" si="2"/>
        <v>0.04013172763704964</v>
      </c>
      <c r="H29" s="220">
        <f t="shared" si="2"/>
        <v>0.06054639250347438</v>
      </c>
      <c r="I29" s="220">
        <f t="shared" si="2"/>
        <v>0.02130960970180995</v>
      </c>
      <c r="J29" s="220"/>
    </row>
    <row r="30" spans="1:10" ht="12.75">
      <c r="A30" s="228"/>
      <c r="B30" s="220"/>
      <c r="C30" s="220"/>
      <c r="D30" s="220"/>
      <c r="E30" s="606"/>
      <c r="F30" s="606"/>
      <c r="G30" s="606"/>
      <c r="H30" s="606"/>
      <c r="I30" s="606"/>
      <c r="J30" s="227"/>
    </row>
    <row r="31" spans="1:10" ht="12.75">
      <c r="A31" s="211" t="str">
        <f>Data!A68</f>
        <v>&lt;Selling, general and administrative expenses&gt;</v>
      </c>
      <c r="B31" s="216">
        <f>Data!E68</f>
        <v>-22814</v>
      </c>
      <c r="C31" s="216">
        <f>Data!F68</f>
        <v>-25145</v>
      </c>
      <c r="D31" s="216">
        <f>Data!G68</f>
        <v>-24970</v>
      </c>
      <c r="E31" s="525">
        <f>E$21*E32</f>
        <v>-25983.598096200003</v>
      </c>
      <c r="F31" s="525">
        <f>F$21*F32</f>
        <v>-27067.873810158846</v>
      </c>
      <c r="G31" s="525">
        <f>G$21*G32</f>
        <v>-28208.401275151307</v>
      </c>
      <c r="H31" s="525">
        <f>H$21*H32</f>
        <v>-29974.071720711298</v>
      </c>
      <c r="I31" s="525">
        <f>I$21*I32</f>
        <v>-30672.019883851885</v>
      </c>
      <c r="J31" s="218">
        <f>I31*$J$16</f>
        <v>-31592.180480367442</v>
      </c>
    </row>
    <row r="32" spans="1:10" ht="12.75">
      <c r="A32" s="219" t="s">
        <v>491</v>
      </c>
      <c r="B32" s="220">
        <f>B31/B$21</f>
        <v>-0.39444655762647396</v>
      </c>
      <c r="C32" s="220">
        <f>C31/C$21</f>
        <v>-0.37809755804162154</v>
      </c>
      <c r="D32" s="220">
        <f>D31/D$21</f>
        <v>-0.38126794112257983</v>
      </c>
      <c r="E32" s="221">
        <v>-0.381</v>
      </c>
      <c r="F32" s="221">
        <f>E32</f>
        <v>-0.381</v>
      </c>
      <c r="G32" s="221">
        <f>F32</f>
        <v>-0.381</v>
      </c>
      <c r="H32" s="221">
        <f>G32</f>
        <v>-0.381</v>
      </c>
      <c r="I32" s="221">
        <f>H32</f>
        <v>-0.381</v>
      </c>
      <c r="J32" s="222"/>
    </row>
    <row r="33" spans="1:10" ht="12.75">
      <c r="A33" s="219" t="s">
        <v>492</v>
      </c>
      <c r="B33" s="220"/>
      <c r="C33" s="220">
        <f>IF(ISERROR(C31/B31-1),"",C31/B31-1)</f>
        <v>0.10217410362058388</v>
      </c>
      <c r="D33" s="220">
        <f>IF(ISERROR(D31/C31-1),"",D31/C31-1)</f>
        <v>-0.0069596341220918845</v>
      </c>
      <c r="E33" s="223" t="s">
        <v>120</v>
      </c>
      <c r="F33" s="223"/>
      <c r="G33" s="223"/>
      <c r="H33" s="223"/>
      <c r="I33" s="223"/>
      <c r="J33" s="222"/>
    </row>
    <row r="34" spans="1:10" ht="12.75">
      <c r="A34" s="229" t="str">
        <f>Data!A69</f>
        <v>&lt;Research and development expenses&gt;</v>
      </c>
      <c r="B34" s="216">
        <f>Data!E69</f>
        <v>0</v>
      </c>
      <c r="C34" s="216">
        <f>Data!F69</f>
        <v>0</v>
      </c>
      <c r="D34" s="216">
        <f>Data!G69</f>
        <v>0</v>
      </c>
      <c r="E34" s="525">
        <f>E$21*E35</f>
        <v>0</v>
      </c>
      <c r="F34" s="525">
        <f>F$21*F35</f>
        <v>0</v>
      </c>
      <c r="G34" s="525">
        <f>G$21*G35</f>
        <v>0</v>
      </c>
      <c r="H34" s="525">
        <f>H$21*H35</f>
        <v>0</v>
      </c>
      <c r="I34" s="525">
        <f>I$21*I35</f>
        <v>0</v>
      </c>
      <c r="J34" s="218">
        <f>I34*$J$16</f>
        <v>0</v>
      </c>
    </row>
    <row r="35" spans="1:10" ht="12.75">
      <c r="A35" s="219" t="s">
        <v>491</v>
      </c>
      <c r="B35" s="220">
        <f>B34/B$21</f>
        <v>0</v>
      </c>
      <c r="C35" s="220">
        <f>C34/C$21</f>
        <v>0</v>
      </c>
      <c r="D35" s="220">
        <f>D34/D$21</f>
        <v>0</v>
      </c>
      <c r="E35" s="221">
        <f>D35</f>
        <v>0</v>
      </c>
      <c r="F35" s="221">
        <f>E35</f>
        <v>0</v>
      </c>
      <c r="G35" s="221">
        <f>F35</f>
        <v>0</v>
      </c>
      <c r="H35" s="221">
        <f>G35</f>
        <v>0</v>
      </c>
      <c r="I35" s="221">
        <f>H35</f>
        <v>0</v>
      </c>
      <c r="J35" s="222"/>
    </row>
    <row r="36" spans="1:10" ht="12.75">
      <c r="A36" s="219" t="s">
        <v>492</v>
      </c>
      <c r="B36" s="220"/>
      <c r="C36" s="220">
        <f>IF(ISERROR(C34/B34-1),"",C34/B34-1)</f>
      </c>
      <c r="D36" s="220">
        <f>IF(ISERROR(D34/C34-1),"",D34/C34-1)</f>
      </c>
      <c r="E36" s="223" t="s">
        <v>173</v>
      </c>
      <c r="F36" s="223"/>
      <c r="G36" s="223"/>
      <c r="H36" s="223"/>
      <c r="I36" s="223"/>
      <c r="J36" s="230"/>
    </row>
    <row r="37" spans="1:10" ht="12.75">
      <c r="A37" s="229" t="str">
        <f>Data!A70</f>
        <v>&lt;Amortization of intangible assets&gt;</v>
      </c>
      <c r="B37" s="216">
        <f>Data!E70</f>
        <v>-117</v>
      </c>
      <c r="C37" s="216">
        <f>Data!F70</f>
        <v>-133</v>
      </c>
      <c r="D37" s="216">
        <f>Data!G70</f>
        <v>-119</v>
      </c>
      <c r="E37" s="525">
        <v>-110</v>
      </c>
      <c r="F37" s="525">
        <v>-95</v>
      </c>
      <c r="G37" s="525">
        <v>-86</v>
      </c>
      <c r="H37" s="525">
        <v>-78</v>
      </c>
      <c r="I37" s="525">
        <v>-72</v>
      </c>
      <c r="J37" s="218">
        <f>I37*$J$16</f>
        <v>-74.16</v>
      </c>
    </row>
    <row r="38" spans="1:10" ht="12.75">
      <c r="A38" s="219" t="s">
        <v>491</v>
      </c>
      <c r="B38" s="220">
        <f>B37/B$21</f>
        <v>-0.002022891524603202</v>
      </c>
      <c r="C38" s="220">
        <f>C37/C$21</f>
        <v>-0.0019998797064838206</v>
      </c>
      <c r="D38" s="220">
        <f>D37/D$21</f>
        <v>-0.0018170158187259514</v>
      </c>
      <c r="E38" s="231"/>
      <c r="F38" s="231"/>
      <c r="G38" s="231"/>
      <c r="H38" s="231"/>
      <c r="I38" s="231"/>
      <c r="J38" s="222"/>
    </row>
    <row r="39" spans="1:10" ht="12.75">
      <c r="A39" s="219" t="s">
        <v>492</v>
      </c>
      <c r="B39" s="220"/>
      <c r="C39" s="220">
        <f>IF(ISERROR(C37/B37-1),"",C37/B37-1)</f>
        <v>0.1367521367521367</v>
      </c>
      <c r="D39" s="220">
        <f>IF(ISERROR(D37/C37-1),"",D37/C37-1)</f>
        <v>-0.10526315789473684</v>
      </c>
      <c r="E39" s="223" t="s">
        <v>119</v>
      </c>
      <c r="F39" s="223"/>
      <c r="G39" s="223"/>
      <c r="H39" s="223"/>
      <c r="I39" s="223"/>
      <c r="J39" s="230"/>
    </row>
    <row r="40" spans="1:10" ht="12.75">
      <c r="A40" s="229" t="str">
        <f>Data!A71</f>
        <v>&lt;Other operating expenses (1)&gt;</v>
      </c>
      <c r="B40" s="216">
        <f>Data!E71</f>
        <v>0</v>
      </c>
      <c r="C40" s="216">
        <f>Data!F71</f>
        <v>0</v>
      </c>
      <c r="D40" s="216">
        <f>Data!G71</f>
        <v>0</v>
      </c>
      <c r="E40" s="525">
        <f>E$21*E41</f>
        <v>0</v>
      </c>
      <c r="F40" s="525">
        <f>F$21*F41</f>
        <v>0</v>
      </c>
      <c r="G40" s="525">
        <f>G$21*G41</f>
        <v>0</v>
      </c>
      <c r="H40" s="525">
        <f>H$21*H41</f>
        <v>0</v>
      </c>
      <c r="I40" s="525">
        <f>I$21*I41</f>
        <v>0</v>
      </c>
      <c r="J40" s="218">
        <f>I40*$J$16</f>
        <v>0</v>
      </c>
    </row>
    <row r="41" spans="1:10" ht="12.75">
      <c r="A41" s="219" t="s">
        <v>491</v>
      </c>
      <c r="B41" s="220">
        <f>B40/B$21</f>
        <v>0</v>
      </c>
      <c r="C41" s="220">
        <f>C40/C$21</f>
        <v>0</v>
      </c>
      <c r="D41" s="220">
        <f>D40/D$21</f>
        <v>0</v>
      </c>
      <c r="E41" s="221">
        <v>0</v>
      </c>
      <c r="F41" s="221">
        <f>E41</f>
        <v>0</v>
      </c>
      <c r="G41" s="221">
        <f>F41</f>
        <v>0</v>
      </c>
      <c r="H41" s="221">
        <f>G41</f>
        <v>0</v>
      </c>
      <c r="I41" s="221">
        <f>H41</f>
        <v>0</v>
      </c>
      <c r="J41" s="222"/>
    </row>
    <row r="42" spans="1:10" ht="12.75">
      <c r="A42" s="219" t="s">
        <v>492</v>
      </c>
      <c r="B42" s="220"/>
      <c r="C42" s="220">
        <f>IF(ISERROR(C40/B40-1),"",C40/B40-1)</f>
      </c>
      <c r="D42" s="220">
        <f>IF(ISERROR(D40/C40-1),"",D40/C40-1)</f>
      </c>
      <c r="E42" s="223" t="s">
        <v>173</v>
      </c>
      <c r="F42" s="223"/>
      <c r="G42" s="223"/>
      <c r="H42" s="223"/>
      <c r="I42" s="223"/>
      <c r="J42" s="230"/>
    </row>
    <row r="43" spans="1:10" ht="12.75">
      <c r="A43" s="229" t="str">
        <f>Data!A72</f>
        <v>&lt;Other operating expenses (2)&gt;</v>
      </c>
      <c r="B43" s="216">
        <f>Data!E72</f>
        <v>0</v>
      </c>
      <c r="C43" s="216">
        <f>Data!F72</f>
        <v>0</v>
      </c>
      <c r="D43" s="216">
        <f>Data!G72</f>
        <v>0</v>
      </c>
      <c r="E43" s="525">
        <f>E$21*E44</f>
        <v>0</v>
      </c>
      <c r="F43" s="525">
        <f>F$21*F44</f>
        <v>0</v>
      </c>
      <c r="G43" s="525">
        <f>G$21*G44</f>
        <v>0</v>
      </c>
      <c r="H43" s="525">
        <f>H$21*H44</f>
        <v>0</v>
      </c>
      <c r="I43" s="525">
        <f>I$21*I44</f>
        <v>0</v>
      </c>
      <c r="J43" s="218">
        <f>I43*$J$16</f>
        <v>0</v>
      </c>
    </row>
    <row r="44" spans="1:10" ht="12.75">
      <c r="A44" s="219" t="s">
        <v>491</v>
      </c>
      <c r="B44" s="220">
        <f>B43/B$21</f>
        <v>0</v>
      </c>
      <c r="C44" s="220">
        <f>C43/C$21</f>
        <v>0</v>
      </c>
      <c r="D44" s="220">
        <f>D43/D$21</f>
        <v>0</v>
      </c>
      <c r="E44" s="221">
        <v>0</v>
      </c>
      <c r="F44" s="221">
        <f>E44</f>
        <v>0</v>
      </c>
      <c r="G44" s="221">
        <f>F44</f>
        <v>0</v>
      </c>
      <c r="H44" s="221">
        <f>G44</f>
        <v>0</v>
      </c>
      <c r="I44" s="221">
        <f>H44</f>
        <v>0</v>
      </c>
      <c r="J44" s="222"/>
    </row>
    <row r="45" spans="1:10" ht="12.75">
      <c r="A45" s="219" t="s">
        <v>492</v>
      </c>
      <c r="B45" s="220"/>
      <c r="C45" s="220">
        <f>IF(ISERROR(C43/B43-1),"",C43/B43-1)</f>
      </c>
      <c r="D45" s="220">
        <f>IF(ISERROR(D43/C43-1),"",D43/C43-1)</f>
      </c>
      <c r="E45" s="223" t="s">
        <v>173</v>
      </c>
      <c r="F45" s="223"/>
      <c r="G45" s="223"/>
      <c r="H45" s="223"/>
      <c r="I45" s="223"/>
      <c r="J45" s="230"/>
    </row>
    <row r="46" spans="1:10" ht="12.75">
      <c r="A46" s="229" t="str">
        <f>Data!A73</f>
        <v>Other operating income (1)</v>
      </c>
      <c r="B46" s="216">
        <f>Data!E73</f>
        <v>0</v>
      </c>
      <c r="C46" s="216">
        <f>Data!F73</f>
        <v>0</v>
      </c>
      <c r="D46" s="216">
        <f>Data!G73</f>
        <v>0</v>
      </c>
      <c r="E46" s="525">
        <f>E$21*E47</f>
        <v>0</v>
      </c>
      <c r="F46" s="525">
        <f>F$21*F47</f>
        <v>0</v>
      </c>
      <c r="G46" s="525">
        <f>G$21*G47</f>
        <v>0</v>
      </c>
      <c r="H46" s="525">
        <f>H$21*H47</f>
        <v>0</v>
      </c>
      <c r="I46" s="525">
        <f>I$21*I47</f>
        <v>0</v>
      </c>
      <c r="J46" s="218">
        <f>I46*$J$16</f>
        <v>0</v>
      </c>
    </row>
    <row r="47" spans="1:10" ht="12.75">
      <c r="A47" s="219" t="s">
        <v>491</v>
      </c>
      <c r="B47" s="220">
        <f>B46/B$21</f>
        <v>0</v>
      </c>
      <c r="C47" s="220">
        <f>C46/C$21</f>
        <v>0</v>
      </c>
      <c r="D47" s="220">
        <f>D46/D$21</f>
        <v>0</v>
      </c>
      <c r="E47" s="221">
        <v>0</v>
      </c>
      <c r="F47" s="221">
        <f>E47</f>
        <v>0</v>
      </c>
      <c r="G47" s="221">
        <f>F47</f>
        <v>0</v>
      </c>
      <c r="H47" s="221">
        <f>G47</f>
        <v>0</v>
      </c>
      <c r="I47" s="221">
        <f>H47</f>
        <v>0</v>
      </c>
      <c r="J47" s="222"/>
    </row>
    <row r="48" spans="1:10" ht="12.75">
      <c r="A48" s="219" t="s">
        <v>492</v>
      </c>
      <c r="B48" s="220"/>
      <c r="C48" s="220">
        <f>IF(ISERROR(C46/B46-1),"",C46/B46-1)</f>
      </c>
      <c r="D48" s="220">
        <f>IF(ISERROR(D46/C46-1),"",D46/C46-1)</f>
      </c>
      <c r="E48" s="223" t="s">
        <v>173</v>
      </c>
      <c r="F48" s="223"/>
      <c r="G48" s="223"/>
      <c r="H48" s="223"/>
      <c r="I48" s="223"/>
      <c r="J48" s="230"/>
    </row>
    <row r="49" spans="1:10" ht="12.75">
      <c r="A49" s="229" t="str">
        <f>Data!A74</f>
        <v>Other operating income (2)</v>
      </c>
      <c r="B49" s="216">
        <f>Data!E74</f>
        <v>0</v>
      </c>
      <c r="C49" s="216">
        <f>Data!F74</f>
        <v>0</v>
      </c>
      <c r="D49" s="216">
        <f>Data!G74</f>
        <v>0</v>
      </c>
      <c r="E49" s="525">
        <f>E$21*E50</f>
        <v>0</v>
      </c>
      <c r="F49" s="525">
        <f>F$21*F50</f>
        <v>0</v>
      </c>
      <c r="G49" s="525">
        <f>G$21*G50</f>
        <v>0</v>
      </c>
      <c r="H49" s="525">
        <f>H$21*H50</f>
        <v>0</v>
      </c>
      <c r="I49" s="525">
        <f>I$21*I50</f>
        <v>0</v>
      </c>
      <c r="J49" s="218">
        <f>I49*$J$16</f>
        <v>0</v>
      </c>
    </row>
    <row r="50" spans="1:10" ht="12.75">
      <c r="A50" s="219" t="s">
        <v>491</v>
      </c>
      <c r="B50" s="220">
        <f>B49/B$21</f>
        <v>0</v>
      </c>
      <c r="C50" s="220">
        <f>C49/C$21</f>
        <v>0</v>
      </c>
      <c r="D50" s="220">
        <f>D49/D$21</f>
        <v>0</v>
      </c>
      <c r="E50" s="221">
        <v>0</v>
      </c>
      <c r="F50" s="221">
        <f>E50</f>
        <v>0</v>
      </c>
      <c r="G50" s="221">
        <f>F50</f>
        <v>0</v>
      </c>
      <c r="H50" s="221">
        <f>G50</f>
        <v>0</v>
      </c>
      <c r="I50" s="221">
        <f>H50</f>
        <v>0</v>
      </c>
      <c r="J50" s="222"/>
    </row>
    <row r="51" spans="1:10" ht="12.75">
      <c r="A51" s="219" t="s">
        <v>492</v>
      </c>
      <c r="B51" s="220"/>
      <c r="C51" s="220">
        <f>IF(ISERROR(C49/B49-1),"",C49/B49-1)</f>
      </c>
      <c r="D51" s="220">
        <f>IF(ISERROR(D49/C49-1),"",D49/C49-1)</f>
      </c>
      <c r="E51" s="223" t="s">
        <v>173</v>
      </c>
      <c r="F51" s="223"/>
      <c r="G51" s="223"/>
      <c r="H51" s="223"/>
      <c r="I51" s="223"/>
      <c r="J51" s="230"/>
    </row>
    <row r="52" spans="1:10" ht="12.75">
      <c r="A52" s="229" t="str">
        <f>Data!A75</f>
        <v>Non-recurring operating gains &lt;losses&gt;</v>
      </c>
      <c r="B52" s="216">
        <f>Data!E75</f>
        <v>0</v>
      </c>
      <c r="C52" s="216">
        <f>Data!F75</f>
        <v>0</v>
      </c>
      <c r="D52" s="216">
        <f>Data!G75</f>
        <v>0</v>
      </c>
      <c r="E52" s="525">
        <v>0</v>
      </c>
      <c r="F52" s="525">
        <v>0</v>
      </c>
      <c r="G52" s="525">
        <v>0</v>
      </c>
      <c r="H52" s="525">
        <v>0</v>
      </c>
      <c r="I52" s="525">
        <v>0</v>
      </c>
      <c r="J52" s="218">
        <f>I52*$J$16</f>
        <v>0</v>
      </c>
    </row>
    <row r="53" spans="1:10" ht="12.75">
      <c r="A53" s="219" t="s">
        <v>491</v>
      </c>
      <c r="B53" s="220">
        <f>B52/B$21</f>
        <v>0</v>
      </c>
      <c r="C53" s="220">
        <f>C52/C$21</f>
        <v>0</v>
      </c>
      <c r="D53" s="220">
        <f>D52/D$21</f>
        <v>0</v>
      </c>
      <c r="E53" s="221">
        <v>0</v>
      </c>
      <c r="F53" s="221">
        <f>E53</f>
        <v>0</v>
      </c>
      <c r="G53" s="221">
        <f>F53</f>
        <v>0</v>
      </c>
      <c r="H53" s="221">
        <f>G53</f>
        <v>0</v>
      </c>
      <c r="I53" s="221">
        <f>H53</f>
        <v>0</v>
      </c>
      <c r="J53" s="232"/>
    </row>
    <row r="54" spans="1:10" ht="12.75">
      <c r="A54" s="219" t="s">
        <v>492</v>
      </c>
      <c r="B54" s="220"/>
      <c r="C54" s="220">
        <f>IF(ISERROR(C52/B52-1),"",C52/B52-1)</f>
      </c>
      <c r="D54" s="220">
        <f>IF(ISERROR(D52/C52-1),"",D52/C52-1)</f>
      </c>
      <c r="E54" s="223" t="s">
        <v>23</v>
      </c>
      <c r="F54" s="223"/>
      <c r="G54" s="223"/>
      <c r="H54" s="223"/>
      <c r="I54" s="223"/>
      <c r="J54" s="230"/>
    </row>
    <row r="55" spans="1:10" ht="12.75">
      <c r="A55" s="211" t="str">
        <f>Data!A76</f>
        <v>  Operating Profit</v>
      </c>
      <c r="B55" s="225">
        <f>B27+B31+B34+B37+B40+B43+B46+B49+B52</f>
        <v>8332</v>
      </c>
      <c r="C55" s="225">
        <f aca="true" t="shared" si="3" ref="C55:J55">C27+C31+C34+C37+C40+C43+C46+C49+C52</f>
        <v>9633</v>
      </c>
      <c r="D55" s="225">
        <f t="shared" si="3"/>
        <v>9112</v>
      </c>
      <c r="E55" s="225">
        <f t="shared" si="3"/>
        <v>9437.778828000002</v>
      </c>
      <c r="F55" s="225">
        <f t="shared" si="3"/>
        <v>9780.156061973961</v>
      </c>
      <c r="G55" s="225">
        <f t="shared" si="3"/>
        <v>10131.21620989732</v>
      </c>
      <c r="H55" s="225">
        <f t="shared" si="3"/>
        <v>10700.078282775452</v>
      </c>
      <c r="I55" s="225">
        <f t="shared" si="3"/>
        <v>10876.542530718783</v>
      </c>
      <c r="J55" s="225">
        <f t="shared" si="3"/>
        <v>11202.838806640342</v>
      </c>
    </row>
    <row r="56" spans="1:10" ht="12.75">
      <c r="A56" s="219" t="s">
        <v>491</v>
      </c>
      <c r="B56" s="220">
        <f aca="true" t="shared" si="4" ref="B56:J56">B55/B$21</f>
        <v>0.1440575400255887</v>
      </c>
      <c r="C56" s="220">
        <f t="shared" si="4"/>
        <v>0.14484843016961385</v>
      </c>
      <c r="D56" s="220">
        <f t="shared" si="4"/>
        <v>0.13913149697673</v>
      </c>
      <c r="E56" s="220">
        <f t="shared" si="4"/>
        <v>0.1383870594116783</v>
      </c>
      <c r="F56" s="220">
        <f t="shared" si="4"/>
        <v>0.1376628059427994</v>
      </c>
      <c r="G56" s="220">
        <f t="shared" si="4"/>
        <v>0.1368384311581364</v>
      </c>
      <c r="H56" s="220">
        <f t="shared" si="4"/>
        <v>0.1360085431076264</v>
      </c>
      <c r="I56" s="220">
        <f t="shared" si="4"/>
        <v>0.13510563438261064</v>
      </c>
      <c r="J56" s="220">
        <f t="shared" si="4"/>
        <v>0.13510563438261058</v>
      </c>
    </row>
    <row r="57" spans="1:10" ht="12.75">
      <c r="A57" s="219" t="s">
        <v>492</v>
      </c>
      <c r="B57" s="220"/>
      <c r="C57" s="220">
        <f aca="true" t="shared" si="5" ref="C57:I57">IF(ISERROR(C55/B55-1),"",C55/B55-1)</f>
        <v>0.15614498319731163</v>
      </c>
      <c r="D57" s="220">
        <f t="shared" si="5"/>
        <v>-0.05408491643309454</v>
      </c>
      <c r="E57" s="220">
        <f t="shared" si="5"/>
        <v>0.035752724758560284</v>
      </c>
      <c r="F57" s="220">
        <f t="shared" si="5"/>
        <v>0.03627731060598638</v>
      </c>
      <c r="G57" s="220">
        <f t="shared" si="5"/>
        <v>0.03589514785845904</v>
      </c>
      <c r="H57" s="220">
        <f t="shared" si="5"/>
        <v>0.056149435674110126</v>
      </c>
      <c r="I57" s="220">
        <f t="shared" si="5"/>
        <v>0.016491865132182815</v>
      </c>
      <c r="J57" s="220"/>
    </row>
    <row r="58" spans="1:10" ht="12.75">
      <c r="A58" s="211"/>
      <c r="B58" s="220"/>
      <c r="C58" s="613"/>
      <c r="D58" s="613"/>
      <c r="E58" s="613"/>
      <c r="F58" s="613"/>
      <c r="G58" s="613"/>
      <c r="H58" s="613"/>
      <c r="I58" s="613"/>
      <c r="J58" s="227"/>
    </row>
    <row r="59" spans="1:10" ht="12.75">
      <c r="A59" s="211" t="str">
        <f>Data!A77</f>
        <v>Interest income</v>
      </c>
      <c r="B59" s="216">
        <f>Data!E77</f>
        <v>68</v>
      </c>
      <c r="C59" s="216">
        <f>Data!F77</f>
        <v>57</v>
      </c>
      <c r="D59" s="216">
        <f>Data!G77</f>
        <v>91</v>
      </c>
      <c r="E59" s="525">
        <f>E60*((D118+E118+D121+E121)/2)</f>
        <v>60.71839815890411</v>
      </c>
      <c r="F59" s="525">
        <f>F60*((E118+F118+E121+F121)/2)</f>
        <v>56.20650313202631</v>
      </c>
      <c r="G59" s="525">
        <f>G60*((F118+G118+F121+G121)/2)</f>
        <v>58.194414028717304</v>
      </c>
      <c r="H59" s="525">
        <f>H60*((G118+H118+G121+H121)/2)</f>
        <v>60.890967559303206</v>
      </c>
      <c r="I59" s="525">
        <f>I60*((H118+I118+H121+I121)/2)</f>
        <v>63.162592688838636</v>
      </c>
      <c r="J59" s="218">
        <f>I59*$J$16</f>
        <v>65.0574704695038</v>
      </c>
    </row>
    <row r="60" spans="1:10" ht="12.75">
      <c r="A60" s="219" t="s">
        <v>491</v>
      </c>
      <c r="B60" s="220">
        <f>B59/B$21</f>
        <v>0.0011756976382309209</v>
      </c>
      <c r="C60" s="220">
        <f>C59/C$21</f>
        <v>0.0008570913027787803</v>
      </c>
      <c r="D60" s="220">
        <f>D59/D$21</f>
        <v>0.0013894826849080804</v>
      </c>
      <c r="E60" s="221">
        <v>0.01</v>
      </c>
      <c r="F60" s="221">
        <f>E60</f>
        <v>0.01</v>
      </c>
      <c r="G60" s="221">
        <f>F60</f>
        <v>0.01</v>
      </c>
      <c r="H60" s="221">
        <f>G60</f>
        <v>0.01</v>
      </c>
      <c r="I60" s="221">
        <f>H60</f>
        <v>0.01</v>
      </c>
      <c r="J60" s="222"/>
    </row>
    <row r="61" spans="1:10" ht="12.75">
      <c r="A61" s="219" t="s">
        <v>492</v>
      </c>
      <c r="B61" s="220"/>
      <c r="C61" s="220">
        <f>IF(ISERROR(C59/B59-1),"",C59/B59-1)</f>
        <v>-0.16176470588235292</v>
      </c>
      <c r="D61" s="220">
        <f>IF(ISERROR(D59/C59-1),"",D59/C59-1)</f>
        <v>0.5964912280701755</v>
      </c>
      <c r="E61" s="223" t="s">
        <v>787</v>
      </c>
      <c r="F61" s="223"/>
      <c r="G61" s="223"/>
      <c r="H61" s="223"/>
      <c r="I61" s="223"/>
      <c r="J61" s="230"/>
    </row>
    <row r="62" spans="1:12" ht="12.75">
      <c r="A62" s="211" t="str">
        <f>Data!A78</f>
        <v>&lt;Interest expense&gt;</v>
      </c>
      <c r="B62" s="216">
        <f>Data!E78</f>
        <v>-903</v>
      </c>
      <c r="C62" s="216">
        <f>Data!F78</f>
        <v>-856</v>
      </c>
      <c r="D62" s="216">
        <f>Data!G78</f>
        <v>-899</v>
      </c>
      <c r="E62" s="525">
        <f>E63*((D180+E180+D183+E183+D201+E201)/2)</f>
        <v>-1048.8435971022764</v>
      </c>
      <c r="F62" s="525">
        <f>F63*((E180+F180+E183+F183+E201+F201)/2)</f>
        <v>-1086.900139164752</v>
      </c>
      <c r="G62" s="525">
        <f>G63*((F180+G180+F183+G183+F201+G201)/2)</f>
        <v>-1136.2232542934419</v>
      </c>
      <c r="H62" s="525">
        <f>H63*((G180+H180+G183+H183+G201+H201)/2)</f>
        <v>-1195.6606132537734</v>
      </c>
      <c r="I62" s="525">
        <f>I63*((H180+I180+H183+I183+H201+I201)/2)</f>
        <v>-1248.3530972053077</v>
      </c>
      <c r="J62" s="218">
        <f>I62*$J$16</f>
        <v>-1285.8036901214668</v>
      </c>
      <c r="L62" s="609"/>
    </row>
    <row r="63" spans="1:10" ht="12.75">
      <c r="A63" s="219" t="s">
        <v>491</v>
      </c>
      <c r="B63" s="220">
        <f>B62/B$21</f>
        <v>-0.015612573048860611</v>
      </c>
      <c r="C63" s="220">
        <f>C62/C$21</f>
        <v>-0.012871406231204138</v>
      </c>
      <c r="D63" s="220">
        <f>D62/D$21</f>
        <v>-0.013726867403652355</v>
      </c>
      <c r="E63" s="611">
        <v>-0.0365</v>
      </c>
      <c r="F63" s="611">
        <f>E63</f>
        <v>-0.0365</v>
      </c>
      <c r="G63" s="611">
        <f>F63</f>
        <v>-0.0365</v>
      </c>
      <c r="H63" s="611">
        <f>G63</f>
        <v>-0.0365</v>
      </c>
      <c r="I63" s="611">
        <f>H63</f>
        <v>-0.0365</v>
      </c>
      <c r="J63" s="222"/>
    </row>
    <row r="64" spans="1:10" ht="12.75">
      <c r="A64" s="219" t="s">
        <v>492</v>
      </c>
      <c r="B64" s="220"/>
      <c r="C64" s="220">
        <f>IF(ISERROR(C62/B62-1),"",C62/B62-1)</f>
        <v>-0.05204872646733116</v>
      </c>
      <c r="D64" s="220">
        <f>IF(ISERROR(D62/C62-1),"",D62/C62-1)</f>
        <v>0.050233644859813076</v>
      </c>
      <c r="E64" s="223" t="s">
        <v>784</v>
      </c>
      <c r="F64" s="223"/>
      <c r="G64" s="223"/>
      <c r="H64" s="223"/>
      <c r="I64" s="223"/>
      <c r="J64" s="230"/>
    </row>
    <row r="65" spans="1:10" ht="12.75">
      <c r="A65" s="229" t="str">
        <f>Data!A79</f>
        <v>Income &lt;Loss&gt; from equity affiliates</v>
      </c>
      <c r="B65" s="216">
        <f>Data!E79</f>
        <v>735</v>
      </c>
      <c r="C65" s="216">
        <f>Data!F79</f>
        <v>0</v>
      </c>
      <c r="D65" s="216">
        <f>Data!G79</f>
        <v>0</v>
      </c>
      <c r="E65" s="525">
        <f>E66*(D145+E145)/2</f>
        <v>0</v>
      </c>
      <c r="F65" s="525">
        <f>F66*(E145+F145)/2</f>
        <v>0</v>
      </c>
      <c r="G65" s="525">
        <f>G66*(F145+G145)/2</f>
        <v>0</v>
      </c>
      <c r="H65" s="525">
        <f>H66*(G145+H145)/2</f>
        <v>0</v>
      </c>
      <c r="I65" s="525">
        <f>I66*(H145+I145)/2</f>
        <v>0</v>
      </c>
      <c r="J65" s="218">
        <f>I65*$J$16</f>
        <v>0</v>
      </c>
    </row>
    <row r="66" spans="1:10" ht="12.75">
      <c r="A66" s="219" t="s">
        <v>491</v>
      </c>
      <c r="B66" s="220">
        <f>B65/B$21</f>
        <v>0.012707908295584217</v>
      </c>
      <c r="C66" s="220">
        <f>C65/C$21</f>
        <v>0</v>
      </c>
      <c r="D66" s="220">
        <f>D65/D$21</f>
        <v>0</v>
      </c>
      <c r="E66" s="234"/>
      <c r="F66" s="234"/>
      <c r="G66" s="234"/>
      <c r="H66" s="234"/>
      <c r="I66" s="234"/>
      <c r="J66" s="232"/>
    </row>
    <row r="67" spans="1:10" ht="12.75">
      <c r="A67" s="219" t="s">
        <v>492</v>
      </c>
      <c r="B67" s="220"/>
      <c r="C67" s="220">
        <f>IF(ISERROR(C65/B65-1),"",C65/B65-1)</f>
        <v>-1</v>
      </c>
      <c r="D67" s="220">
        <f>IF(ISERROR(D65/C65-1),"",D65/C65-1)</f>
      </c>
      <c r="E67" s="223" t="s">
        <v>23</v>
      </c>
      <c r="F67" s="223"/>
      <c r="G67" s="223"/>
      <c r="H67" s="223"/>
      <c r="I67" s="223"/>
      <c r="J67" s="230"/>
    </row>
    <row r="68" spans="1:10" ht="12.75">
      <c r="A68" s="229" t="str">
        <f>Data!A80</f>
        <v>Other income or gains &lt;Other expenses or losses&gt;</v>
      </c>
      <c r="B68" s="216">
        <f>Data!E80</f>
        <v>0</v>
      </c>
      <c r="C68" s="216">
        <f>Data!F80</f>
        <v>0</v>
      </c>
      <c r="D68" s="216">
        <f>Data!G80</f>
        <v>0</v>
      </c>
      <c r="E68" s="217">
        <v>0</v>
      </c>
      <c r="F68" s="217">
        <v>0</v>
      </c>
      <c r="G68" s="217">
        <v>0</v>
      </c>
      <c r="H68" s="217">
        <v>0</v>
      </c>
      <c r="I68" s="217">
        <v>0</v>
      </c>
      <c r="J68" s="218">
        <f>I68*$J$16</f>
        <v>0</v>
      </c>
    </row>
    <row r="69" spans="1:10" ht="12.75">
      <c r="A69" s="219" t="s">
        <v>491</v>
      </c>
      <c r="B69" s="220">
        <f>B68/B$21</f>
        <v>0</v>
      </c>
      <c r="C69" s="220">
        <f>C68/C$21</f>
        <v>0</v>
      </c>
      <c r="D69" s="220">
        <f>D68/D$21</f>
        <v>0</v>
      </c>
      <c r="E69" s="231">
        <v>0</v>
      </c>
      <c r="F69" s="231">
        <f>E69</f>
        <v>0</v>
      </c>
      <c r="G69" s="231">
        <f>F69</f>
        <v>0</v>
      </c>
      <c r="H69" s="231">
        <f>G69</f>
        <v>0</v>
      </c>
      <c r="I69" s="231">
        <f>H69</f>
        <v>0</v>
      </c>
      <c r="J69" s="232"/>
    </row>
    <row r="70" spans="1:10" ht="12.75">
      <c r="A70" s="219" t="s">
        <v>492</v>
      </c>
      <c r="B70" s="220"/>
      <c r="C70" s="220">
        <f>IF(ISERROR(C68/B68-1),"",C68/B68-1)</f>
      </c>
      <c r="D70" s="220">
        <f>IF(ISERROR(D68/C68-1),"",D68/C68-1)</f>
      </c>
      <c r="E70" s="223" t="s">
        <v>23</v>
      </c>
      <c r="F70" s="223"/>
      <c r="G70" s="223"/>
      <c r="H70" s="223"/>
      <c r="I70" s="223"/>
      <c r="J70" s="230"/>
    </row>
    <row r="71" spans="1:10" ht="12.75">
      <c r="A71" s="229" t="str">
        <f>Data!A81</f>
        <v>  Income before Tax</v>
      </c>
      <c r="B71" s="225">
        <f>B55+B59+B62+B65+B68</f>
        <v>8232</v>
      </c>
      <c r="C71" s="225">
        <f aca="true" t="shared" si="6" ref="C71:J71">C55+C59+C62+C65+C68</f>
        <v>8834</v>
      </c>
      <c r="D71" s="225">
        <f t="shared" si="6"/>
        <v>8304</v>
      </c>
      <c r="E71" s="225">
        <f t="shared" si="6"/>
        <v>8449.65362905663</v>
      </c>
      <c r="F71" s="225">
        <f t="shared" si="6"/>
        <v>8749.462425941236</v>
      </c>
      <c r="G71" s="225">
        <f t="shared" si="6"/>
        <v>9053.187369632597</v>
      </c>
      <c r="H71" s="225">
        <f t="shared" si="6"/>
        <v>9565.308637080983</v>
      </c>
      <c r="I71" s="225">
        <f t="shared" si="6"/>
        <v>9691.352026202316</v>
      </c>
      <c r="J71" s="225">
        <f t="shared" si="6"/>
        <v>9982.09258698838</v>
      </c>
    </row>
    <row r="72" spans="1:10" ht="12.75">
      <c r="A72" s="219" t="s">
        <v>491</v>
      </c>
      <c r="B72" s="220">
        <f aca="true" t="shared" si="7" ref="B72:J72">B71/B$21</f>
        <v>0.14232857291054324</v>
      </c>
      <c r="C72" s="220">
        <f t="shared" si="7"/>
        <v>0.1328341152411885</v>
      </c>
      <c r="D72" s="220">
        <f t="shared" si="7"/>
        <v>0.1267941122579857</v>
      </c>
      <c r="E72" s="220">
        <f t="shared" si="7"/>
        <v>0.12389808450513973</v>
      </c>
      <c r="F72" s="220">
        <f t="shared" si="7"/>
        <v>0.12315504378598431</v>
      </c>
      <c r="G72" s="220">
        <f t="shared" si="7"/>
        <v>0.12227791125718512</v>
      </c>
      <c r="H72" s="220">
        <f t="shared" si="7"/>
        <v>0.12158450225531695</v>
      </c>
      <c r="I72" s="220">
        <f t="shared" si="7"/>
        <v>0.12038350053127897</v>
      </c>
      <c r="J72" s="220">
        <f t="shared" si="7"/>
        <v>0.1203835005312789</v>
      </c>
    </row>
    <row r="73" spans="1:10" ht="12.75">
      <c r="A73" s="219" t="s">
        <v>492</v>
      </c>
      <c r="B73" s="220"/>
      <c r="C73" s="220">
        <f aca="true" t="shared" si="8" ref="C73:I73">IF(ISERROR(C71/B71-1),"",C71/B71-1)</f>
        <v>0.0731292517006803</v>
      </c>
      <c r="D73" s="220">
        <f t="shared" si="8"/>
        <v>-0.05999547203984601</v>
      </c>
      <c r="E73" s="220">
        <f t="shared" si="8"/>
        <v>0.017540176909516925</v>
      </c>
      <c r="F73" s="220">
        <f t="shared" si="8"/>
        <v>0.03548178541350211</v>
      </c>
      <c r="G73" s="220">
        <f t="shared" si="8"/>
        <v>0.0347135548340487</v>
      </c>
      <c r="H73" s="220">
        <f t="shared" si="8"/>
        <v>0.05656806233417999</v>
      </c>
      <c r="I73" s="220">
        <f t="shared" si="8"/>
        <v>0.013177137707058417</v>
      </c>
      <c r="J73" s="220"/>
    </row>
    <row r="74" spans="1:10" ht="12.75">
      <c r="A74" s="219"/>
      <c r="B74" s="220"/>
      <c r="C74" s="220"/>
      <c r="D74" s="220"/>
      <c r="E74" s="227"/>
      <c r="F74" s="227"/>
      <c r="G74" s="227"/>
      <c r="H74" s="227"/>
      <c r="I74" s="227"/>
      <c r="J74" s="227"/>
    </row>
    <row r="75" spans="1:10" ht="12.75">
      <c r="A75" s="211" t="str">
        <f>Data!A82</f>
        <v>&lt;Income tax expense&gt;</v>
      </c>
      <c r="B75" s="216">
        <f>Data!E82</f>
        <v>-1894</v>
      </c>
      <c r="C75" s="216">
        <f>Data!F82</f>
        <v>-2372</v>
      </c>
      <c r="D75" s="216">
        <f>Data!G82</f>
        <v>-2090</v>
      </c>
      <c r="E75" s="525">
        <f>E71*E76</f>
        <v>-2281.40647984529</v>
      </c>
      <c r="F75" s="525">
        <f>F71*F76</f>
        <v>-2362.3548550041337</v>
      </c>
      <c r="G75" s="525">
        <f>G71*G76</f>
        <v>-2444.3605898008013</v>
      </c>
      <c r="H75" s="525">
        <f>H71*H76</f>
        <v>-2582.6333320118656</v>
      </c>
      <c r="I75" s="525">
        <f>I71*I76</f>
        <v>-2616.6650470746254</v>
      </c>
      <c r="J75" s="218">
        <f>I75*$J$16</f>
        <v>-2695.164998486864</v>
      </c>
    </row>
    <row r="76" spans="1:10" ht="12.75">
      <c r="A76" s="219" t="s">
        <v>491</v>
      </c>
      <c r="B76" s="220">
        <f>B75/B$21</f>
        <v>-0.032746637158961235</v>
      </c>
      <c r="C76" s="220">
        <f>C75/C$21</f>
        <v>-0.03566702754721521</v>
      </c>
      <c r="D76" s="220">
        <f>D75/D$21</f>
        <v>-0.03191229463140536</v>
      </c>
      <c r="E76" s="234">
        <v>-0.27</v>
      </c>
      <c r="F76" s="234">
        <f>E76</f>
        <v>-0.27</v>
      </c>
      <c r="G76" s="234">
        <f>F76</f>
        <v>-0.27</v>
      </c>
      <c r="H76" s="234">
        <f>G76</f>
        <v>-0.27</v>
      </c>
      <c r="I76" s="234">
        <f>H76</f>
        <v>-0.27</v>
      </c>
      <c r="J76" s="222"/>
    </row>
    <row r="77" spans="1:10" ht="12.75">
      <c r="A77" s="219" t="s">
        <v>492</v>
      </c>
      <c r="B77" s="220"/>
      <c r="C77" s="220">
        <f>IF(ISERROR(C75/B75-1),"",C75/B75-1)</f>
        <v>0.25237592397043285</v>
      </c>
      <c r="D77" s="220">
        <f>IF(ISERROR(D75/C75-1),"",D75/C75-1)</f>
        <v>-0.11888701517706579</v>
      </c>
      <c r="E77" s="223" t="s">
        <v>773</v>
      </c>
      <c r="F77" s="223"/>
      <c r="G77" s="223"/>
      <c r="H77" s="223"/>
      <c r="I77" s="223"/>
      <c r="J77" s="235"/>
    </row>
    <row r="78" spans="1:10" ht="12.75">
      <c r="A78" s="211" t="str">
        <f>Data!A83</f>
        <v>Income &lt;Loss&gt; from discontinued operations</v>
      </c>
      <c r="B78" s="216">
        <f>Data!E83</f>
        <v>0</v>
      </c>
      <c r="C78" s="216">
        <f>Data!F83</f>
        <v>0</v>
      </c>
      <c r="D78" s="216">
        <f>Data!G83</f>
        <v>0</v>
      </c>
      <c r="E78" s="217">
        <v>0</v>
      </c>
      <c r="F78" s="217">
        <v>0</v>
      </c>
      <c r="G78" s="217">
        <v>0</v>
      </c>
      <c r="H78" s="217">
        <v>0</v>
      </c>
      <c r="I78" s="217">
        <v>0</v>
      </c>
      <c r="J78" s="218">
        <f>I78*$J$16</f>
        <v>0</v>
      </c>
    </row>
    <row r="79" spans="1:10" ht="12.75">
      <c r="A79" s="219" t="s">
        <v>491</v>
      </c>
      <c r="B79" s="220">
        <f>B78/B$21</f>
        <v>0</v>
      </c>
      <c r="C79" s="220">
        <f>C78/C$21</f>
        <v>0</v>
      </c>
      <c r="D79" s="220">
        <f>D78/D$21</f>
        <v>0</v>
      </c>
      <c r="E79" s="231">
        <v>0</v>
      </c>
      <c r="F79" s="231">
        <f>E79</f>
        <v>0</v>
      </c>
      <c r="G79" s="231">
        <f>F79</f>
        <v>0</v>
      </c>
      <c r="H79" s="231">
        <f>G79</f>
        <v>0</v>
      </c>
      <c r="I79" s="231">
        <f>H79</f>
        <v>0</v>
      </c>
      <c r="J79" s="232"/>
    </row>
    <row r="80" spans="1:10" ht="12.75">
      <c r="A80" s="219" t="s">
        <v>492</v>
      </c>
      <c r="B80" s="220"/>
      <c r="C80" s="220">
        <f>IF(ISERROR(C78/B78-1),"",C78/B78-1)</f>
      </c>
      <c r="D80" s="220">
        <f>IF(ISERROR(D78/C78-1),"",D78/C78-1)</f>
      </c>
      <c r="E80" s="223" t="s">
        <v>23</v>
      </c>
      <c r="F80" s="223"/>
      <c r="G80" s="223"/>
      <c r="H80" s="223"/>
      <c r="I80" s="223"/>
      <c r="J80" s="230"/>
    </row>
    <row r="81" spans="1:10" ht="12.75">
      <c r="A81" s="211" t="str">
        <f>Data!A84</f>
        <v>Extraordinary gains &lt;losses&gt;</v>
      </c>
      <c r="B81" s="216">
        <f>Data!E84</f>
        <v>0</v>
      </c>
      <c r="C81" s="216">
        <f>Data!F84</f>
        <v>0</v>
      </c>
      <c r="D81" s="216">
        <f>Data!G84</f>
        <v>0</v>
      </c>
      <c r="E81" s="217">
        <v>0</v>
      </c>
      <c r="F81" s="217">
        <v>0</v>
      </c>
      <c r="G81" s="217">
        <v>0</v>
      </c>
      <c r="H81" s="217">
        <v>0</v>
      </c>
      <c r="I81" s="217">
        <v>0</v>
      </c>
      <c r="J81" s="218">
        <f>I81*$J$16</f>
        <v>0</v>
      </c>
    </row>
    <row r="82" spans="1:10" ht="12.75">
      <c r="A82" s="219" t="s">
        <v>491</v>
      </c>
      <c r="B82" s="220">
        <f>B81/B$21</f>
        <v>0</v>
      </c>
      <c r="C82" s="220">
        <f>C81/C$21</f>
        <v>0</v>
      </c>
      <c r="D82" s="220">
        <f>D81/D$21</f>
        <v>0</v>
      </c>
      <c r="E82" s="231">
        <v>0</v>
      </c>
      <c r="F82" s="231">
        <f>E82</f>
        <v>0</v>
      </c>
      <c r="G82" s="231">
        <f>F82</f>
        <v>0</v>
      </c>
      <c r="H82" s="231">
        <f>G82</f>
        <v>0</v>
      </c>
      <c r="I82" s="231">
        <f>H82</f>
        <v>0</v>
      </c>
      <c r="J82" s="232"/>
    </row>
    <row r="83" spans="1:10" ht="12.75">
      <c r="A83" s="219" t="s">
        <v>492</v>
      </c>
      <c r="B83" s="220"/>
      <c r="C83" s="220">
        <f>IF(ISERROR(C81/B81-1),"",C81/B81-1)</f>
      </c>
      <c r="D83" s="220">
        <f>IF(ISERROR(D81/C81-1),"",D81/C81-1)</f>
      </c>
      <c r="E83" s="223" t="s">
        <v>23</v>
      </c>
      <c r="F83" s="223"/>
      <c r="G83" s="223"/>
      <c r="H83" s="223"/>
      <c r="I83" s="223"/>
      <c r="J83" s="230"/>
    </row>
    <row r="84" spans="1:10" ht="12.75">
      <c r="A84" s="211" t="str">
        <f>Data!A85</f>
        <v>Changes in accounting principles</v>
      </c>
      <c r="B84" s="216">
        <f>Data!E85</f>
        <v>0</v>
      </c>
      <c r="C84" s="216">
        <f>Data!F85</f>
        <v>0</v>
      </c>
      <c r="D84" s="216">
        <f>Data!G85</f>
        <v>0</v>
      </c>
      <c r="E84" s="217">
        <v>0</v>
      </c>
      <c r="F84" s="217">
        <v>0</v>
      </c>
      <c r="G84" s="217">
        <v>0</v>
      </c>
      <c r="H84" s="217">
        <v>0</v>
      </c>
      <c r="I84" s="217">
        <v>0</v>
      </c>
      <c r="J84" s="218">
        <f>I84*$J$16</f>
        <v>0</v>
      </c>
    </row>
    <row r="85" spans="1:10" ht="12.75">
      <c r="A85" s="219" t="s">
        <v>491</v>
      </c>
      <c r="B85" s="220">
        <f>B84/B$21</f>
        <v>0</v>
      </c>
      <c r="C85" s="220">
        <f>C84/C$21</f>
        <v>0</v>
      </c>
      <c r="D85" s="220">
        <f>D84/D$21</f>
        <v>0</v>
      </c>
      <c r="E85" s="231">
        <v>0</v>
      </c>
      <c r="F85" s="231">
        <f>E85</f>
        <v>0</v>
      </c>
      <c r="G85" s="231">
        <f>F85</f>
        <v>0</v>
      </c>
      <c r="H85" s="231">
        <f>G85</f>
        <v>0</v>
      </c>
      <c r="I85" s="231">
        <f>H85</f>
        <v>0</v>
      </c>
      <c r="J85" s="232"/>
    </row>
    <row r="86" spans="1:10" ht="12.75">
      <c r="A86" s="219" t="s">
        <v>492</v>
      </c>
      <c r="B86" s="220"/>
      <c r="C86" s="220">
        <f>IF(ISERROR(C84/B84-1),"",C84/B84-1)</f>
      </c>
      <c r="D86" s="220">
        <f>IF(ISERROR(D84/C84-1),"",D84/C84-1)</f>
      </c>
      <c r="E86" s="223" t="s">
        <v>23</v>
      </c>
      <c r="F86" s="224"/>
      <c r="G86" s="224"/>
      <c r="H86" s="224"/>
      <c r="I86" s="224"/>
      <c r="J86" s="230"/>
    </row>
    <row r="87" spans="1:10" ht="12.75">
      <c r="A87" s="229" t="str">
        <f>Data!A86</f>
        <v>  Net Income </v>
      </c>
      <c r="B87" s="225">
        <f>B71+B75+B78+B81+B84</f>
        <v>6338</v>
      </c>
      <c r="C87" s="225">
        <f aca="true" t="shared" si="9" ref="C87:J87">C71+C75+C78+C81+C84</f>
        <v>6462</v>
      </c>
      <c r="D87" s="225">
        <f t="shared" si="9"/>
        <v>6214</v>
      </c>
      <c r="E87" s="225">
        <f t="shared" si="9"/>
        <v>6168.247149211339</v>
      </c>
      <c r="F87" s="225">
        <f t="shared" si="9"/>
        <v>6387.107570937102</v>
      </c>
      <c r="G87" s="225">
        <f t="shared" si="9"/>
        <v>6608.826779831796</v>
      </c>
      <c r="H87" s="225">
        <f t="shared" si="9"/>
        <v>6982.675305069118</v>
      </c>
      <c r="I87" s="225">
        <f t="shared" si="9"/>
        <v>7074.68697912769</v>
      </c>
      <c r="J87" s="225">
        <f t="shared" si="9"/>
        <v>7286.927588501516</v>
      </c>
    </row>
    <row r="88" spans="1:10" ht="12.75">
      <c r="A88" s="219" t="s">
        <v>491</v>
      </c>
      <c r="B88" s="220">
        <f aca="true" t="shared" si="10" ref="B88:J88">B87/B$21</f>
        <v>0.10958193575158201</v>
      </c>
      <c r="C88" s="220">
        <f t="shared" si="10"/>
        <v>0.0971670876939733</v>
      </c>
      <c r="D88" s="220">
        <f>D87/D$21</f>
        <v>0.09488181762658035</v>
      </c>
      <c r="E88" s="220">
        <f t="shared" si="10"/>
        <v>0.090445601688752</v>
      </c>
      <c r="F88" s="220">
        <f t="shared" si="10"/>
        <v>0.08990318196376855</v>
      </c>
      <c r="G88" s="220">
        <f t="shared" si="10"/>
        <v>0.08926287521774515</v>
      </c>
      <c r="H88" s="220">
        <f t="shared" si="10"/>
        <v>0.08875668664638137</v>
      </c>
      <c r="I88" s="220">
        <f t="shared" si="10"/>
        <v>0.08787995538783364</v>
      </c>
      <c r="J88" s="220">
        <f t="shared" si="10"/>
        <v>0.08787995538783358</v>
      </c>
    </row>
    <row r="89" spans="1:10" ht="12.75">
      <c r="A89" s="219" t="s">
        <v>492</v>
      </c>
      <c r="B89" s="220"/>
      <c r="C89" s="220">
        <f>IF(ISERROR(C87/B87-1),"",C87/B87-1)</f>
        <v>0.019564531397917362</v>
      </c>
      <c r="D89" s="220">
        <f>IF(ISERROR(D87/C87-1),"",D87/C87-1)</f>
        <v>-0.03837821108016093</v>
      </c>
      <c r="E89" s="220">
        <f aca="true" t="shared" si="11" ref="E89:J89">IF(ISERROR(E87/D87-1),"",E87/D87-1)</f>
        <v>-0.007362866235703369</v>
      </c>
      <c r="F89" s="220">
        <f t="shared" si="11"/>
        <v>0.03548178541350211</v>
      </c>
      <c r="G89" s="220">
        <f t="shared" si="11"/>
        <v>0.03471355483404892</v>
      </c>
      <c r="H89" s="220">
        <f t="shared" si="11"/>
        <v>0.05656806233417977</v>
      </c>
      <c r="I89" s="220">
        <f t="shared" si="11"/>
        <v>0.013177137707058417</v>
      </c>
      <c r="J89" s="220">
        <f t="shared" si="11"/>
        <v>0.02999999999999936</v>
      </c>
    </row>
    <row r="90" spans="1:10" ht="12.75">
      <c r="A90" s="229" t="str">
        <f>Data!A87</f>
        <v>Net income attributable to noncontrolling interests</v>
      </c>
      <c r="B90" s="592">
        <f>Data!E87</f>
        <v>-18</v>
      </c>
      <c r="C90" s="592">
        <f>Data!F87</f>
        <v>-19</v>
      </c>
      <c r="D90" s="592">
        <f>Data!G87</f>
        <v>-36</v>
      </c>
      <c r="E90" s="617">
        <f>-E91*D240</f>
        <v>-10.5</v>
      </c>
      <c r="F90" s="617">
        <f>-F91*E240</f>
        <v>-10.5</v>
      </c>
      <c r="G90" s="617">
        <f>-G91*F240</f>
        <v>-10.5</v>
      </c>
      <c r="H90" s="617">
        <f>-H91*G240</f>
        <v>-10.5</v>
      </c>
      <c r="I90" s="617">
        <f>-I91*H240</f>
        <v>-10.5</v>
      </c>
      <c r="J90" s="643">
        <f>I90*$J$16</f>
        <v>-10.815</v>
      </c>
    </row>
    <row r="91" spans="1:10" ht="12.75">
      <c r="A91" s="219" t="s">
        <v>491</v>
      </c>
      <c r="B91" s="220">
        <f>B90/B$21</f>
        <v>-0.0003112140807081849</v>
      </c>
      <c r="C91" s="220">
        <f>C90/C$21</f>
        <v>-0.0002856971009262601</v>
      </c>
      <c r="D91" s="220">
        <f>D90/D$21</f>
        <v>-0.000549685457765834</v>
      </c>
      <c r="E91" s="255">
        <v>0.1</v>
      </c>
      <c r="F91" s="255">
        <v>0.1</v>
      </c>
      <c r="G91" s="255">
        <v>0.1</v>
      </c>
      <c r="H91" s="255">
        <v>0.1</v>
      </c>
      <c r="I91" s="255">
        <v>0.1</v>
      </c>
      <c r="J91" s="232"/>
    </row>
    <row r="92" spans="1:10" ht="12.75">
      <c r="A92" s="219" t="s">
        <v>492</v>
      </c>
      <c r="B92" s="220"/>
      <c r="C92" s="220">
        <f>IF(ISERROR(C90/B90-1),"",C90/B90-1)</f>
        <v>0.05555555555555558</v>
      </c>
      <c r="D92" s="220">
        <f>IF(ISERROR(D90/C90-1),"",D90/C90-1)</f>
        <v>0.894736842105263</v>
      </c>
      <c r="E92" s="223" t="s">
        <v>789</v>
      </c>
      <c r="F92" s="223"/>
      <c r="G92" s="223"/>
      <c r="H92" s="223"/>
      <c r="I92" s="223"/>
      <c r="J92" s="230"/>
    </row>
    <row r="93" spans="1:10" ht="12.75">
      <c r="A93" s="229" t="str">
        <f>Data!A88</f>
        <v>  Net Income attributable to common shareholders</v>
      </c>
      <c r="B93" s="593">
        <f>B87+B90</f>
        <v>6320</v>
      </c>
      <c r="C93" s="593">
        <f aca="true" t="shared" si="12" ref="C93:J93">C87+C90</f>
        <v>6443</v>
      </c>
      <c r="D93" s="593">
        <f t="shared" si="12"/>
        <v>6178</v>
      </c>
      <c r="E93" s="593">
        <f t="shared" si="12"/>
        <v>6157.747149211339</v>
      </c>
      <c r="F93" s="593">
        <f t="shared" si="12"/>
        <v>6376.607570937102</v>
      </c>
      <c r="G93" s="593">
        <f t="shared" si="12"/>
        <v>6598.326779831796</v>
      </c>
      <c r="H93" s="593">
        <f t="shared" si="12"/>
        <v>6972.175305069118</v>
      </c>
      <c r="I93" s="593">
        <f t="shared" si="12"/>
        <v>7064.18697912769</v>
      </c>
      <c r="J93" s="593">
        <f t="shared" si="12"/>
        <v>7276.112588501516</v>
      </c>
    </row>
    <row r="94" spans="1:10" ht="12.75">
      <c r="A94" s="219" t="s">
        <v>491</v>
      </c>
      <c r="B94" s="220">
        <f>B93/B$21</f>
        <v>0.10927072167087382</v>
      </c>
      <c r="C94" s="220">
        <f>C93/C$21</f>
        <v>0.09688139059304704</v>
      </c>
      <c r="D94" s="220">
        <f>D93/D$21</f>
        <v>0.09433213216881452</v>
      </c>
      <c r="E94" s="220">
        <f aca="true" t="shared" si="13" ref="E94:J94">E93/E$21</f>
        <v>0.09029163917804855</v>
      </c>
      <c r="F94" s="220">
        <f t="shared" si="13"/>
        <v>0.08975538683113059</v>
      </c>
      <c r="G94" s="220">
        <f t="shared" si="13"/>
        <v>0.08912105576612227</v>
      </c>
      <c r="H94" s="220">
        <f t="shared" si="13"/>
        <v>0.08862322129548493</v>
      </c>
      <c r="I94" s="220">
        <f t="shared" si="13"/>
        <v>0.08774952706863103</v>
      </c>
      <c r="J94" s="220">
        <f t="shared" si="13"/>
        <v>0.08774952706863097</v>
      </c>
    </row>
    <row r="95" spans="1:10" ht="12.75">
      <c r="A95" s="219" t="s">
        <v>492</v>
      </c>
      <c r="B95" s="220"/>
      <c r="C95" s="220">
        <f aca="true" t="shared" si="14" ref="C95:J95">IF(ISERROR(C93/B93-1),"",C93/B93-1)</f>
        <v>0.01946202531645569</v>
      </c>
      <c r="D95" s="220">
        <f t="shared" si="14"/>
        <v>-0.041129908427750994</v>
      </c>
      <c r="E95" s="220">
        <f t="shared" si="14"/>
        <v>-0.0032782212348108075</v>
      </c>
      <c r="F95" s="220">
        <f t="shared" si="14"/>
        <v>0.035542287856654475</v>
      </c>
      <c r="G95" s="220">
        <f t="shared" si="14"/>
        <v>0.034770715686696985</v>
      </c>
      <c r="H95" s="220">
        <f t="shared" si="14"/>
        <v>0.05665807979986903</v>
      </c>
      <c r="I95" s="220">
        <f t="shared" si="14"/>
        <v>0.013196982294991333</v>
      </c>
      <c r="J95" s="220">
        <f t="shared" si="14"/>
        <v>0.02999999999999936</v>
      </c>
    </row>
    <row r="96" spans="1:10" ht="12.75">
      <c r="A96" s="219"/>
      <c r="B96" s="220"/>
      <c r="C96" s="220"/>
      <c r="D96" s="220"/>
      <c r="E96" s="220"/>
      <c r="F96" s="220"/>
      <c r="G96" s="220"/>
      <c r="H96" s="220"/>
      <c r="I96" s="220"/>
      <c r="J96" s="220"/>
    </row>
    <row r="97" spans="1:10" ht="12.75">
      <c r="A97" s="211" t="str">
        <f>Data!A91</f>
        <v>Other comprehensive income items</v>
      </c>
      <c r="B97" s="216">
        <f>Data!E91</f>
        <v>146</v>
      </c>
      <c r="C97" s="216">
        <f>Data!F91</f>
        <v>-2618</v>
      </c>
      <c r="D97" s="216">
        <f>Data!G91</f>
        <v>706</v>
      </c>
      <c r="E97" s="237">
        <v>0</v>
      </c>
      <c r="F97" s="237">
        <v>0</v>
      </c>
      <c r="G97" s="237">
        <v>0</v>
      </c>
      <c r="H97" s="237">
        <v>0</v>
      </c>
      <c r="I97" s="237">
        <v>0</v>
      </c>
      <c r="J97" s="218">
        <f>I97*$J$16</f>
        <v>0</v>
      </c>
    </row>
    <row r="98" spans="1:10" ht="12.75">
      <c r="A98" s="219" t="s">
        <v>491</v>
      </c>
      <c r="B98" s="220">
        <f>B97/B$21</f>
        <v>0.002524291987966389</v>
      </c>
      <c r="C98" s="220">
        <f>C97/C$21</f>
        <v>-0.03936605316973415</v>
      </c>
      <c r="D98" s="220">
        <f>D97/D$21</f>
        <v>0.010779942588407745</v>
      </c>
      <c r="E98" s="231">
        <v>0</v>
      </c>
      <c r="F98" s="231">
        <f>E98</f>
        <v>0</v>
      </c>
      <c r="G98" s="231">
        <f>F98</f>
        <v>0</v>
      </c>
      <c r="H98" s="231">
        <f>G98</f>
        <v>0</v>
      </c>
      <c r="I98" s="231">
        <f>H98</f>
        <v>0</v>
      </c>
      <c r="J98" s="222"/>
    </row>
    <row r="99" spans="1:10" ht="12.75">
      <c r="A99" s="219" t="s">
        <v>492</v>
      </c>
      <c r="B99" s="220"/>
      <c r="C99" s="220">
        <f>IF(ISERROR(C97/B97-1),"",C97/B97-1)</f>
        <v>-18.931506849315067</v>
      </c>
      <c r="D99" s="220">
        <f>IF(ISERROR(D97/C97-1),"",D97/C97-1)</f>
        <v>-1.2696715049656226</v>
      </c>
      <c r="E99" s="223" t="s">
        <v>777</v>
      </c>
      <c r="F99" s="224"/>
      <c r="G99" s="224"/>
      <c r="H99" s="224"/>
      <c r="I99" s="224"/>
      <c r="J99" s="230"/>
    </row>
    <row r="100" spans="1:10" ht="13.5" thickBot="1">
      <c r="A100" s="229" t="str">
        <f>Data!A92</f>
        <v>Comprehensive Income</v>
      </c>
      <c r="B100" s="236">
        <f>B87+B97</f>
        <v>6484</v>
      </c>
      <c r="C100" s="236">
        <f>C87+C97</f>
        <v>3844</v>
      </c>
      <c r="D100" s="236">
        <f>D87+D97</f>
        <v>6920</v>
      </c>
      <c r="E100" s="236">
        <f aca="true" t="shared" si="15" ref="E100:J100">E93+E97</f>
        <v>6157.747149211339</v>
      </c>
      <c r="F100" s="236">
        <f t="shared" si="15"/>
        <v>6376.607570937102</v>
      </c>
      <c r="G100" s="236">
        <f t="shared" si="15"/>
        <v>6598.326779831796</v>
      </c>
      <c r="H100" s="236">
        <f t="shared" si="15"/>
        <v>6972.175305069118</v>
      </c>
      <c r="I100" s="236">
        <f t="shared" si="15"/>
        <v>7064.18697912769</v>
      </c>
      <c r="J100" s="236">
        <f t="shared" si="15"/>
        <v>7276.112588501516</v>
      </c>
    </row>
    <row r="101" spans="1:10" ht="13.5" thickTop="1">
      <c r="A101" s="219" t="s">
        <v>491</v>
      </c>
      <c r="B101" s="220">
        <f aca="true" t="shared" si="16" ref="B101:J101">B100/B$21</f>
        <v>0.1121062277395484</v>
      </c>
      <c r="C101" s="220">
        <f t="shared" si="16"/>
        <v>0.057801034524239146</v>
      </c>
      <c r="D101" s="220">
        <f t="shared" si="16"/>
        <v>0.10566176021498809</v>
      </c>
      <c r="E101" s="220">
        <f t="shared" si="16"/>
        <v>0.09029163917804855</v>
      </c>
      <c r="F101" s="220">
        <f t="shared" si="16"/>
        <v>0.08975538683113059</v>
      </c>
      <c r="G101" s="220">
        <f t="shared" si="16"/>
        <v>0.08912105576612227</v>
      </c>
      <c r="H101" s="220">
        <f t="shared" si="16"/>
        <v>0.08862322129548493</v>
      </c>
      <c r="I101" s="220">
        <f t="shared" si="16"/>
        <v>0.08774952706863103</v>
      </c>
      <c r="J101" s="220">
        <f t="shared" si="16"/>
        <v>0.08774952706863097</v>
      </c>
    </row>
    <row r="102" spans="1:10" ht="12.75">
      <c r="A102" s="219" t="s">
        <v>492</v>
      </c>
      <c r="B102" s="220"/>
      <c r="C102" s="220">
        <f>IF(ISERROR(C100/B100-1),"",C100/B100-1)</f>
        <v>-0.40715607649599017</v>
      </c>
      <c r="D102" s="220">
        <f>IF(ISERROR(D100/C100-1),"",D100/C100-1)</f>
        <v>0.8002081165452652</v>
      </c>
      <c r="E102" s="220">
        <f aca="true" t="shared" si="17" ref="E102:J102">IF(ISERROR(E100/D100-1),"",E100/D100-1)</f>
        <v>-0.11015214606772561</v>
      </c>
      <c r="F102" s="220">
        <f t="shared" si="17"/>
        <v>0.035542287856654475</v>
      </c>
      <c r="G102" s="220">
        <f t="shared" si="17"/>
        <v>0.034770715686696985</v>
      </c>
      <c r="H102" s="220">
        <f t="shared" si="17"/>
        <v>0.05665807979986903</v>
      </c>
      <c r="I102" s="220">
        <f t="shared" si="17"/>
        <v>0.013196982294991333</v>
      </c>
      <c r="J102" s="220">
        <f t="shared" si="17"/>
        <v>0.02999999999999936</v>
      </c>
    </row>
    <row r="103" spans="1:10" ht="12.75">
      <c r="A103" s="211"/>
      <c r="B103" s="47"/>
      <c r="C103" s="47"/>
      <c r="D103" s="47"/>
      <c r="E103" s="47"/>
      <c r="F103" s="47"/>
      <c r="G103" s="47"/>
      <c r="H103" s="47"/>
      <c r="I103" s="47"/>
      <c r="J103" s="47"/>
    </row>
    <row r="104" spans="1:17" ht="12.75">
      <c r="A104" s="214"/>
      <c r="B104" s="47"/>
      <c r="C104" s="47"/>
      <c r="D104" s="47"/>
      <c r="E104" s="47"/>
      <c r="F104" s="47"/>
      <c r="G104" s="47"/>
      <c r="H104" s="47"/>
      <c r="I104" s="47"/>
      <c r="J104" s="47"/>
      <c r="L104" s="47"/>
      <c r="M104" s="47"/>
      <c r="N104" s="47"/>
      <c r="O104" s="47"/>
      <c r="P104" s="47"/>
      <c r="Q104" s="47"/>
    </row>
    <row r="105" spans="1:17" ht="12.75">
      <c r="A105" s="181" t="s">
        <v>474</v>
      </c>
      <c r="B105" s="182" t="s">
        <v>28</v>
      </c>
      <c r="C105" s="183"/>
      <c r="D105" s="183"/>
      <c r="E105" s="184"/>
      <c r="F105" s="185"/>
      <c r="G105" s="185"/>
      <c r="H105" s="185"/>
      <c r="I105" s="185"/>
      <c r="J105" s="186"/>
      <c r="L105" s="47"/>
      <c r="M105" s="47"/>
      <c r="N105" s="47"/>
      <c r="O105" s="47"/>
      <c r="P105" s="47"/>
      <c r="Q105" s="47"/>
    </row>
    <row r="106" spans="1:17" ht="12.75">
      <c r="A106" s="187" t="str">
        <f>Data!A9</f>
        <v>Analyst Name:</v>
      </c>
      <c r="B106" s="238" t="str">
        <f>Data!B9</f>
        <v>Wahlen, Baginski &amp; Bradshaw</v>
      </c>
      <c r="C106" s="183"/>
      <c r="D106" s="183"/>
      <c r="E106" s="184"/>
      <c r="F106" s="185"/>
      <c r="G106" s="185"/>
      <c r="H106" s="185"/>
      <c r="I106" s="185"/>
      <c r="J106" s="186"/>
      <c r="L106" s="47"/>
      <c r="M106" s="47"/>
      <c r="N106" s="47"/>
      <c r="O106" s="47"/>
      <c r="P106" s="47"/>
      <c r="Q106" s="47"/>
    </row>
    <row r="107" spans="1:17" ht="12.75">
      <c r="A107" s="187" t="str">
        <f>Data!A10</f>
        <v>Company Name:</v>
      </c>
      <c r="B107" s="239" t="str">
        <f>Data!B10</f>
        <v>PepsiCo</v>
      </c>
      <c r="C107" s="208"/>
      <c r="D107" s="208"/>
      <c r="E107" s="240"/>
      <c r="F107" s="241"/>
      <c r="G107" s="241"/>
      <c r="H107" s="241"/>
      <c r="I107" s="241"/>
      <c r="J107" s="242"/>
      <c r="L107" s="47"/>
      <c r="M107" s="47"/>
      <c r="N107" s="47"/>
      <c r="O107" s="47"/>
      <c r="P107" s="47"/>
      <c r="Q107" s="47"/>
    </row>
    <row r="108" spans="1:17" ht="12.75">
      <c r="A108" s="243"/>
      <c r="B108" s="195"/>
      <c r="C108" s="203"/>
      <c r="D108" s="203"/>
      <c r="E108" s="70"/>
      <c r="F108" s="61"/>
      <c r="G108" s="61"/>
      <c r="H108" s="61"/>
      <c r="I108" s="61"/>
      <c r="J108" s="61"/>
      <c r="L108" s="47"/>
      <c r="M108" s="47"/>
      <c r="N108" s="47"/>
      <c r="O108" s="47"/>
      <c r="P108" s="47"/>
      <c r="Q108" s="47"/>
    </row>
    <row r="109" spans="1:10" ht="12.75">
      <c r="A109" s="214"/>
      <c r="B109" s="214" t="s">
        <v>302</v>
      </c>
      <c r="C109" s="203"/>
      <c r="D109" s="203"/>
      <c r="E109" s="196" t="s">
        <v>302</v>
      </c>
      <c r="F109" s="194"/>
      <c r="G109" s="194"/>
      <c r="H109" s="194"/>
      <c r="I109" s="194"/>
      <c r="J109" s="194"/>
    </row>
    <row r="110" spans="1:10" ht="12.75">
      <c r="A110" s="203"/>
      <c r="B110" s="214" t="s">
        <v>475</v>
      </c>
      <c r="C110" s="203"/>
      <c r="D110" s="203"/>
      <c r="E110" s="197" t="s">
        <v>476</v>
      </c>
      <c r="F110" s="194"/>
      <c r="G110" s="194"/>
      <c r="H110" s="194"/>
      <c r="I110" s="194"/>
      <c r="J110" s="198" t="s">
        <v>24</v>
      </c>
    </row>
    <row r="111" spans="1:10" ht="12.75">
      <c r="A111" s="203"/>
      <c r="B111" s="203" t="s">
        <v>477</v>
      </c>
      <c r="C111" s="203"/>
      <c r="D111" s="203"/>
      <c r="E111" s="199" t="s">
        <v>478</v>
      </c>
      <c r="F111" s="194"/>
      <c r="G111" s="194"/>
      <c r="H111" s="194"/>
      <c r="I111" s="200" t="s">
        <v>25</v>
      </c>
      <c r="J111" s="201">
        <f>$J$15</f>
        <v>0.03</v>
      </c>
    </row>
    <row r="112" spans="1:10" ht="12.75">
      <c r="A112" s="203"/>
      <c r="B112" s="203" t="s">
        <v>479</v>
      </c>
      <c r="C112" s="203"/>
      <c r="D112" s="203"/>
      <c r="E112" s="199" t="s">
        <v>480</v>
      </c>
      <c r="F112" s="194"/>
      <c r="G112" s="194"/>
      <c r="H112" s="194"/>
      <c r="I112" s="200" t="s">
        <v>481</v>
      </c>
      <c r="J112" s="202">
        <f>1+$J$15</f>
        <v>1.03</v>
      </c>
    </row>
    <row r="113" spans="1:10" ht="13.5" thickBot="1">
      <c r="A113" s="203"/>
      <c r="B113" s="244"/>
      <c r="C113" s="203"/>
      <c r="D113" s="203"/>
      <c r="E113" s="206"/>
      <c r="F113" s="206"/>
      <c r="G113" s="206"/>
      <c r="H113" s="206"/>
      <c r="I113" s="206"/>
      <c r="J113" s="206"/>
    </row>
    <row r="114" spans="1:12" ht="13.5" thickTop="1">
      <c r="A114" s="203"/>
      <c r="B114" s="245" t="s">
        <v>482</v>
      </c>
      <c r="C114" s="246"/>
      <c r="D114" s="246"/>
      <c r="E114" s="247" t="s">
        <v>483</v>
      </c>
      <c r="F114" s="248"/>
      <c r="G114" s="248"/>
      <c r="H114" s="248"/>
      <c r="I114" s="248"/>
      <c r="J114" s="247"/>
      <c r="L114" s="109" t="s">
        <v>244</v>
      </c>
    </row>
    <row r="115" spans="1:12" ht="12.75">
      <c r="A115" s="203"/>
      <c r="B115" s="212">
        <f>B19</f>
        <v>2010</v>
      </c>
      <c r="C115" s="212">
        <f>C19</f>
        <v>2011</v>
      </c>
      <c r="D115" s="212">
        <f>D19</f>
        <v>2012</v>
      </c>
      <c r="E115" s="213" t="str">
        <f aca="true" t="shared" si="18" ref="E115:J115">E$19</f>
        <v>Year +1</v>
      </c>
      <c r="F115" s="213" t="str">
        <f t="shared" si="18"/>
        <v>Year +2</v>
      </c>
      <c r="G115" s="213" t="str">
        <f t="shared" si="18"/>
        <v>Year +3</v>
      </c>
      <c r="H115" s="213" t="str">
        <f t="shared" si="18"/>
        <v>Year +4</v>
      </c>
      <c r="I115" s="213" t="str">
        <f t="shared" si="18"/>
        <v>Year +5</v>
      </c>
      <c r="J115" s="213" t="str">
        <f t="shared" si="18"/>
        <v>Year +6</v>
      </c>
      <c r="L115" s="180" t="s">
        <v>1</v>
      </c>
    </row>
    <row r="116" spans="1:10" ht="12.75">
      <c r="A116" s="214" t="s">
        <v>493</v>
      </c>
      <c r="B116" s="249"/>
      <c r="C116" s="249"/>
      <c r="D116" s="249"/>
      <c r="E116" s="49"/>
      <c r="F116" s="49"/>
      <c r="G116" s="49"/>
      <c r="H116" s="49"/>
      <c r="I116" s="49"/>
      <c r="J116" s="51"/>
    </row>
    <row r="117" spans="1:10" ht="12.75">
      <c r="A117" s="211" t="s">
        <v>462</v>
      </c>
      <c r="B117" s="249"/>
      <c r="C117" s="249"/>
      <c r="D117" s="249"/>
      <c r="E117" s="631"/>
      <c r="F117" s="631"/>
      <c r="G117" s="631"/>
      <c r="H117" s="631"/>
      <c r="I117" s="631"/>
      <c r="J117" s="51"/>
    </row>
    <row r="118" spans="1:12" ht="12.75">
      <c r="A118" s="211" t="str">
        <f>Data!A16</f>
        <v>Cash and cash equivalents</v>
      </c>
      <c r="B118" s="216">
        <f>Data!E16</f>
        <v>5943</v>
      </c>
      <c r="C118" s="216">
        <f>Data!F16</f>
        <v>4067</v>
      </c>
      <c r="D118" s="216">
        <f>Data!G16</f>
        <v>6297</v>
      </c>
      <c r="E118" s="277">
        <f>E21/365*E119</f>
        <v>5231.659631780823</v>
      </c>
      <c r="F118" s="277">
        <f>F21/365*F119</f>
        <v>5449.972794624439</v>
      </c>
      <c r="G118" s="277">
        <f>G21/365*G119</f>
        <v>5679.61194911902</v>
      </c>
      <c r="H118" s="277">
        <f>H21/365*H119</f>
        <v>6035.120326321621</v>
      </c>
      <c r="I118" s="277">
        <f>I21/365*I119</f>
        <v>6175.648486303906</v>
      </c>
      <c r="J118" s="250">
        <f>I118*$J$112</f>
        <v>6360.917940893023</v>
      </c>
      <c r="L118" s="109" t="s">
        <v>4</v>
      </c>
    </row>
    <row r="119" spans="1:12" ht="12.75">
      <c r="A119" s="219" t="s">
        <v>491</v>
      </c>
      <c r="B119" s="220">
        <f>B118/B$169</f>
        <v>0.0872008568955145</v>
      </c>
      <c r="C119" s="220">
        <f>C118/C$169</f>
        <v>0.05580253011717571</v>
      </c>
      <c r="D119" s="220">
        <f>D118/D$169</f>
        <v>0.08436721241190814</v>
      </c>
      <c r="E119" s="231">
        <v>28</v>
      </c>
      <c r="F119" s="231">
        <f>E119</f>
        <v>28</v>
      </c>
      <c r="G119" s="231">
        <f>F119</f>
        <v>28</v>
      </c>
      <c r="H119" s="231">
        <f>G119</f>
        <v>28</v>
      </c>
      <c r="I119" s="231">
        <f>H119</f>
        <v>28</v>
      </c>
      <c r="J119" s="251"/>
      <c r="L119" s="180" t="s">
        <v>5</v>
      </c>
    </row>
    <row r="120" spans="1:10" ht="12.75">
      <c r="A120" s="219" t="s">
        <v>492</v>
      </c>
      <c r="B120" s="220"/>
      <c r="C120" s="220">
        <f>IF(ISERROR(C118/B118-1),"",C118/B118-1)</f>
        <v>-0.31566548881036516</v>
      </c>
      <c r="D120" s="220">
        <f>IF(ISERROR(D118/C118-1),"",D118/C118-1)</f>
        <v>0.5483157118268995</v>
      </c>
      <c r="E120" s="223" t="s">
        <v>783</v>
      </c>
      <c r="F120" s="224"/>
      <c r="G120" s="224"/>
      <c r="H120" s="224"/>
      <c r="I120" s="224"/>
      <c r="J120" s="252"/>
    </row>
    <row r="121" spans="1:10" ht="12.75">
      <c r="A121" s="211" t="str">
        <f>Data!A17</f>
        <v>Marketable securities</v>
      </c>
      <c r="B121" s="216">
        <f>Data!E17</f>
        <v>426</v>
      </c>
      <c r="C121" s="216">
        <f>Data!F17</f>
        <v>358</v>
      </c>
      <c r="D121" s="216">
        <f>Data!G17</f>
        <v>322</v>
      </c>
      <c r="E121" s="277">
        <f>D121*(1+E122)</f>
        <v>293.02</v>
      </c>
      <c r="F121" s="277">
        <f>E121*(1+F122)</f>
        <v>266.6482</v>
      </c>
      <c r="G121" s="277">
        <f>F121*(1+G122)</f>
        <v>242.64986199999998</v>
      </c>
      <c r="H121" s="277">
        <f>G121*(1+H122)</f>
        <v>220.81137442</v>
      </c>
      <c r="I121" s="277">
        <f>H121*(1+I122)</f>
        <v>200.9383507222</v>
      </c>
      <c r="J121" s="250">
        <f>I121*$J$112</f>
        <v>206.966501243866</v>
      </c>
    </row>
    <row r="122" spans="1:10" ht="12.75">
      <c r="A122" s="219" t="s">
        <v>491</v>
      </c>
      <c r="B122" s="220">
        <f>B121/B$169</f>
        <v>0.006250641937992458</v>
      </c>
      <c r="C122" s="220">
        <f>C121/C$169</f>
        <v>0.004912049614445268</v>
      </c>
      <c r="D122" s="220">
        <f>D121/D$169</f>
        <v>0.0043141563278758805</v>
      </c>
      <c r="E122" s="255">
        <v>-0.09</v>
      </c>
      <c r="F122" s="255">
        <f>E122</f>
        <v>-0.09</v>
      </c>
      <c r="G122" s="255">
        <f>F122</f>
        <v>-0.09</v>
      </c>
      <c r="H122" s="255">
        <f>G122</f>
        <v>-0.09</v>
      </c>
      <c r="I122" s="255">
        <f>H122</f>
        <v>-0.09</v>
      </c>
      <c r="J122" s="251"/>
    </row>
    <row r="123" spans="1:20" ht="12.75">
      <c r="A123" s="219" t="s">
        <v>492</v>
      </c>
      <c r="B123" s="220"/>
      <c r="C123" s="220">
        <f>IF(ISERROR(C121/B121-1),"",C121/B121-1)</f>
        <v>-0.15962441314553988</v>
      </c>
      <c r="D123" s="220">
        <f>IF(ISERROR(D121/C121-1),"",D121/C121-1)</f>
        <v>-0.1005586592178771</v>
      </c>
      <c r="E123" s="223" t="s">
        <v>778</v>
      </c>
      <c r="F123" s="224"/>
      <c r="G123" s="224"/>
      <c r="H123" s="224"/>
      <c r="I123" s="224"/>
      <c r="J123" s="235"/>
      <c r="L123" s="253"/>
      <c r="M123" s="253"/>
      <c r="N123" s="253"/>
      <c r="O123" s="253"/>
      <c r="P123" s="253"/>
      <c r="Q123" s="253"/>
      <c r="R123" s="253"/>
      <c r="S123" s="253"/>
      <c r="T123" s="253"/>
    </row>
    <row r="124" spans="1:10" ht="12.75">
      <c r="A124" s="211" t="str">
        <f>Data!A18</f>
        <v>Accounts and notes receivable—net</v>
      </c>
      <c r="B124" s="216">
        <f>Data!E18</f>
        <v>6323</v>
      </c>
      <c r="C124" s="216">
        <f>Data!F18</f>
        <v>6912</v>
      </c>
      <c r="D124" s="216">
        <f>Data!G18</f>
        <v>7041</v>
      </c>
      <c r="E124" s="277">
        <f>E21*(E125/365)</f>
        <v>7286.954487123289</v>
      </c>
      <c r="F124" s="277">
        <f>F21*(F125/365)</f>
        <v>7591.033535369756</v>
      </c>
      <c r="G124" s="277">
        <f>G21*(G125/365)</f>
        <v>7910.888071987208</v>
      </c>
      <c r="H124" s="277">
        <f>H21*(H125/365)</f>
        <v>8406.060454519402</v>
      </c>
      <c r="I124" s="277">
        <f>I21*(I125/365)</f>
        <v>8601.796105923298</v>
      </c>
      <c r="J124" s="250">
        <f>I124*$J$112</f>
        <v>8859.849989100998</v>
      </c>
    </row>
    <row r="125" spans="1:12" ht="12.75">
      <c r="A125" s="219" t="s">
        <v>491</v>
      </c>
      <c r="B125" s="220">
        <f>B124/B$169</f>
        <v>0.09277654688715097</v>
      </c>
      <c r="C125" s="220">
        <f>C124/C$169</f>
        <v>0.0948382316621388</v>
      </c>
      <c r="D125" s="220">
        <f>D124/D$169</f>
        <v>0.09433532516948472</v>
      </c>
      <c r="E125" s="231">
        <v>39</v>
      </c>
      <c r="F125" s="231">
        <f>E125</f>
        <v>39</v>
      </c>
      <c r="G125" s="231">
        <f>F125</f>
        <v>39</v>
      </c>
      <c r="H125" s="231">
        <f>G125</f>
        <v>39</v>
      </c>
      <c r="I125" s="231">
        <f>H125</f>
        <v>39</v>
      </c>
      <c r="J125" s="251"/>
      <c r="L125" s="607"/>
    </row>
    <row r="126" spans="1:12" ht="12.75">
      <c r="A126" s="219" t="s">
        <v>492</v>
      </c>
      <c r="B126" s="220"/>
      <c r="C126" s="220">
        <f>IF(ISERROR(C124/B124-1),"",C124/B124-1)</f>
        <v>0.09315198481733344</v>
      </c>
      <c r="D126" s="220">
        <f>IF(ISERROR(D124/C124-1),"",D124/C124-1)</f>
        <v>0.01866319444444442</v>
      </c>
      <c r="E126" s="223" t="s">
        <v>774</v>
      </c>
      <c r="F126" s="224"/>
      <c r="G126" s="224"/>
      <c r="H126" s="224"/>
      <c r="I126" s="224"/>
      <c r="J126" s="252"/>
      <c r="L126" s="607"/>
    </row>
    <row r="127" spans="1:13" ht="12.75">
      <c r="A127" s="211" t="str">
        <f>Data!A19</f>
        <v>Inventories</v>
      </c>
      <c r="B127" s="216">
        <f>Data!E19</f>
        <v>3372</v>
      </c>
      <c r="C127" s="216">
        <f>Data!F19</f>
        <v>3827</v>
      </c>
      <c r="D127" s="216">
        <f>Data!G19</f>
        <v>3581</v>
      </c>
      <c r="E127" s="277">
        <f>-E24/365*E128</f>
        <v>3937.9449428361645</v>
      </c>
      <c r="F127" s="277">
        <f>-F24/365*F128</f>
        <v>4157.550674756359</v>
      </c>
      <c r="G127" s="277">
        <f>-G24/365*G128</f>
        <v>4390.5428799529</v>
      </c>
      <c r="H127" s="277">
        <f>-H24/365*H128</f>
        <v>4727.00799559141</v>
      </c>
      <c r="I127" s="277">
        <f>-I24/365*I128</f>
        <v>4900.3770738821495</v>
      </c>
      <c r="J127" s="250">
        <f>I127*$J$112</f>
        <v>5047.388386098614</v>
      </c>
      <c r="M127" s="607"/>
    </row>
    <row r="128" spans="1:10" ht="12.75">
      <c r="A128" s="219" t="s">
        <v>491</v>
      </c>
      <c r="B128" s="220">
        <f>B127/B$169</f>
        <v>0.049476912241574106</v>
      </c>
      <c r="C128" s="220">
        <f>C127/C$169</f>
        <v>0.05250953596224033</v>
      </c>
      <c r="D128" s="220">
        <f>D127/D$169</f>
        <v>0.04797824164634636</v>
      </c>
      <c r="E128" s="231">
        <v>44</v>
      </c>
      <c r="F128" s="231">
        <v>44.5</v>
      </c>
      <c r="G128" s="231">
        <v>45</v>
      </c>
      <c r="H128" s="231">
        <v>45.5</v>
      </c>
      <c r="I128" s="231">
        <v>46</v>
      </c>
      <c r="J128" s="251"/>
    </row>
    <row r="129" spans="1:10" ht="12.75">
      <c r="A129" s="219" t="s">
        <v>492</v>
      </c>
      <c r="B129" s="220"/>
      <c r="C129" s="220">
        <f>IF(ISERROR(C127/B127-1),"",C127/B127-1)</f>
        <v>0.13493475682087785</v>
      </c>
      <c r="D129" s="220">
        <f>IF(ISERROR(D127/C127-1),"",D127/C127-1)</f>
        <v>-0.06428011497256336</v>
      </c>
      <c r="E129" s="223" t="s">
        <v>779</v>
      </c>
      <c r="F129" s="224"/>
      <c r="G129" s="224"/>
      <c r="H129" s="224"/>
      <c r="I129" s="224"/>
      <c r="J129" s="254"/>
    </row>
    <row r="130" spans="1:10" ht="12.75">
      <c r="A130" s="229" t="str">
        <f>Data!A20</f>
        <v>Prepaid expenses and other current assets</v>
      </c>
      <c r="B130" s="216">
        <f>Data!E20</f>
        <v>1505</v>
      </c>
      <c r="C130" s="216">
        <f>Data!F20</f>
        <v>2277</v>
      </c>
      <c r="D130" s="216">
        <f>Data!G20</f>
        <v>1479</v>
      </c>
      <c r="E130" s="277">
        <f>D130*(1+E131)</f>
        <v>1540.1188462071705</v>
      </c>
      <c r="F130" s="277">
        <f>E130*(1+F131)</f>
        <v>1604.3868300087274</v>
      </c>
      <c r="G130" s="277">
        <f>F130*(1+G131)</f>
        <v>1671.9890087735178</v>
      </c>
      <c r="H130" s="277">
        <f>G130*(1+H131)</f>
        <v>1776.6451198836894</v>
      </c>
      <c r="I130" s="277">
        <f>H130*(1+I131)</f>
        <v>1818.0144143035297</v>
      </c>
      <c r="J130" s="250">
        <f>I130*$J$112</f>
        <v>1872.5548467326357</v>
      </c>
    </row>
    <row r="131" spans="1:10" ht="12.75">
      <c r="A131" s="219" t="s">
        <v>491</v>
      </c>
      <c r="B131" s="220">
        <f>B130/B$169</f>
        <v>0.02208266694056021</v>
      </c>
      <c r="C131" s="220">
        <f>C130/C$169</f>
        <v>0.03124228204494937</v>
      </c>
      <c r="D131" s="220">
        <f>D130/D$169</f>
        <v>0.019815643505988908</v>
      </c>
      <c r="E131" s="234">
        <f>E22</f>
        <v>0.041324439626214016</v>
      </c>
      <c r="F131" s="234">
        <f>F22</f>
        <v>0.041729236649385104</v>
      </c>
      <c r="G131" s="234">
        <f>G22</f>
        <v>0.04213583501207285</v>
      </c>
      <c r="H131" s="234">
        <f>H22</f>
        <v>0.06259377936158916</v>
      </c>
      <c r="I131" s="234">
        <f>I22</f>
        <v>0.023285063492335834</v>
      </c>
      <c r="J131" s="251"/>
    </row>
    <row r="132" spans="1:10" ht="12.75">
      <c r="A132" s="219" t="s">
        <v>492</v>
      </c>
      <c r="B132" s="220"/>
      <c r="C132" s="220">
        <f>IF(ISERROR(C130/B130-1),"",C130/B130-1)</f>
        <v>0.5129568106312292</v>
      </c>
      <c r="D132" s="220">
        <f>IF(ISERROR(D130/C130-1),"",D130/C130-1)</f>
        <v>-0.35046113306982873</v>
      </c>
      <c r="E132" s="223" t="s">
        <v>434</v>
      </c>
      <c r="F132" s="224"/>
      <c r="G132" s="224"/>
      <c r="H132" s="224"/>
      <c r="I132" s="224"/>
      <c r="J132" s="254"/>
    </row>
    <row r="133" spans="1:10" ht="12.75">
      <c r="A133" s="229" t="str">
        <f>Data!A21</f>
        <v>Deferred tax assets—current</v>
      </c>
      <c r="B133" s="216">
        <f>Data!E21</f>
        <v>0</v>
      </c>
      <c r="C133" s="216">
        <f>Data!F21</f>
        <v>0</v>
      </c>
      <c r="D133" s="216">
        <f>Data!G21</f>
        <v>0</v>
      </c>
      <c r="E133" s="277">
        <f>D133*(1+E134)</f>
        <v>0</v>
      </c>
      <c r="F133" s="277">
        <f>E133*(1+F134)</f>
        <v>0</v>
      </c>
      <c r="G133" s="277">
        <f>F133*(1+G134)</f>
        <v>0</v>
      </c>
      <c r="H133" s="277">
        <f>G133*(1+H134)</f>
        <v>0</v>
      </c>
      <c r="I133" s="277">
        <f>H133*(1+I134)</f>
        <v>0</v>
      </c>
      <c r="J133" s="250">
        <f>I133*$J$112</f>
        <v>0</v>
      </c>
    </row>
    <row r="134" spans="1:10" ht="12.75">
      <c r="A134" s="219" t="s">
        <v>491</v>
      </c>
      <c r="B134" s="220">
        <f>B133/B$169</f>
        <v>0</v>
      </c>
      <c r="C134" s="220">
        <f>C133/C$169</f>
        <v>0</v>
      </c>
      <c r="D134" s="220">
        <f>D133/D$169</f>
        <v>0</v>
      </c>
      <c r="E134" s="255">
        <v>0</v>
      </c>
      <c r="F134" s="255">
        <f>E134</f>
        <v>0</v>
      </c>
      <c r="G134" s="255">
        <f>F134</f>
        <v>0</v>
      </c>
      <c r="H134" s="255">
        <f>G134</f>
        <v>0</v>
      </c>
      <c r="I134" s="255">
        <f>H134</f>
        <v>0</v>
      </c>
      <c r="J134" s="251"/>
    </row>
    <row r="135" spans="1:10" ht="12.75">
      <c r="A135" s="219" t="s">
        <v>492</v>
      </c>
      <c r="B135" s="220"/>
      <c r="C135" s="220">
        <f>IF(ISERROR(C133/B133-1),"",C133/B133-1)</f>
      </c>
      <c r="D135" s="220">
        <f>IF(ISERROR(D133/C133-1),"",D133/C133-1)</f>
      </c>
      <c r="E135" s="223" t="s">
        <v>23</v>
      </c>
      <c r="F135" s="224"/>
      <c r="G135" s="224"/>
      <c r="H135" s="224"/>
      <c r="I135" s="224"/>
      <c r="J135" s="254"/>
    </row>
    <row r="136" spans="1:10" ht="12.75">
      <c r="A136" s="211" t="str">
        <f>Data!A22</f>
        <v>Other current assets (1)</v>
      </c>
      <c r="B136" s="216">
        <f>Data!E22</f>
        <v>0</v>
      </c>
      <c r="C136" s="216">
        <f>Data!F22</f>
        <v>0</v>
      </c>
      <c r="D136" s="216">
        <f>Data!G22</f>
        <v>0</v>
      </c>
      <c r="E136" s="277">
        <f>D136*(1+E137)</f>
        <v>0</v>
      </c>
      <c r="F136" s="277">
        <f>E136*(1+F137)</f>
        <v>0</v>
      </c>
      <c r="G136" s="277">
        <f>F136*(1+G137)</f>
        <v>0</v>
      </c>
      <c r="H136" s="277">
        <f>G136*(1+H137)</f>
        <v>0</v>
      </c>
      <c r="I136" s="277">
        <f>H136*(1+I137)</f>
        <v>0</v>
      </c>
      <c r="J136" s="250">
        <f>I136*$J$112</f>
        <v>0</v>
      </c>
    </row>
    <row r="137" spans="1:10" ht="12.75">
      <c r="A137" s="219" t="s">
        <v>491</v>
      </c>
      <c r="B137" s="220">
        <f>B136/B$169</f>
        <v>0</v>
      </c>
      <c r="C137" s="220">
        <f>C136/C$169</f>
        <v>0</v>
      </c>
      <c r="D137" s="220">
        <f>D136/D$169</f>
        <v>0</v>
      </c>
      <c r="E137" s="255">
        <v>0</v>
      </c>
      <c r="F137" s="255">
        <f>E137</f>
        <v>0</v>
      </c>
      <c r="G137" s="255">
        <f>F137</f>
        <v>0</v>
      </c>
      <c r="H137" s="255">
        <f>G137</f>
        <v>0</v>
      </c>
      <c r="I137" s="255">
        <f>H137</f>
        <v>0</v>
      </c>
      <c r="J137" s="251"/>
    </row>
    <row r="138" spans="1:10" ht="12.75">
      <c r="A138" s="219" t="s">
        <v>492</v>
      </c>
      <c r="B138" s="220"/>
      <c r="C138" s="220">
        <f>IF(ISERROR(C136/B136-1),"",C136/B136-1)</f>
      </c>
      <c r="D138" s="220">
        <f>IF(ISERROR(D136/C136-1),"",D136/C136-1)</f>
      </c>
      <c r="E138" s="223" t="s">
        <v>23</v>
      </c>
      <c r="F138" s="224"/>
      <c r="G138" s="224"/>
      <c r="H138" s="224"/>
      <c r="I138" s="224"/>
      <c r="J138" s="235"/>
    </row>
    <row r="139" spans="1:10" ht="12.75">
      <c r="A139" s="211" t="str">
        <f>Data!A23</f>
        <v>Other current assets (2)</v>
      </c>
      <c r="B139" s="216">
        <f>Data!E23</f>
        <v>0</v>
      </c>
      <c r="C139" s="216">
        <f>Data!F23</f>
        <v>0</v>
      </c>
      <c r="D139" s="216">
        <f>Data!G23</f>
        <v>0</v>
      </c>
      <c r="E139" s="277">
        <f>D139*(1+E140)</f>
        <v>0</v>
      </c>
      <c r="F139" s="277">
        <f>E139*(1+F140)</f>
        <v>0</v>
      </c>
      <c r="G139" s="277">
        <f>F139*(1+G140)</f>
        <v>0</v>
      </c>
      <c r="H139" s="277">
        <f>G139*(1+H140)</f>
        <v>0</v>
      </c>
      <c r="I139" s="277">
        <f>H139*(1+I140)</f>
        <v>0</v>
      </c>
      <c r="J139" s="250">
        <f>I139*$J$112</f>
        <v>0</v>
      </c>
    </row>
    <row r="140" spans="1:10" ht="12.75">
      <c r="A140" s="219" t="s">
        <v>491</v>
      </c>
      <c r="B140" s="220">
        <f>B139/B$169</f>
        <v>0</v>
      </c>
      <c r="C140" s="220">
        <f>C139/C$169</f>
        <v>0</v>
      </c>
      <c r="D140" s="220">
        <f>D139/D$169</f>
        <v>0</v>
      </c>
      <c r="E140" s="255">
        <v>0</v>
      </c>
      <c r="F140" s="255">
        <f>E140</f>
        <v>0</v>
      </c>
      <c r="G140" s="255">
        <f>F140</f>
        <v>0</v>
      </c>
      <c r="H140" s="255">
        <f>G140</f>
        <v>0</v>
      </c>
      <c r="I140" s="255">
        <f>H140</f>
        <v>0</v>
      </c>
      <c r="J140" s="256"/>
    </row>
    <row r="141" spans="1:10" ht="12.75">
      <c r="A141" s="219" t="s">
        <v>492</v>
      </c>
      <c r="B141" s="220"/>
      <c r="C141" s="220">
        <f>IF(ISERROR(C139/B139-1),"",C139/B139-1)</f>
      </c>
      <c r="D141" s="220">
        <f>IF(ISERROR(D139/C139-1),"",D139/C139-1)</f>
      </c>
      <c r="E141" s="223" t="s">
        <v>23</v>
      </c>
      <c r="F141" s="224"/>
      <c r="G141" s="224"/>
      <c r="H141" s="224"/>
      <c r="I141" s="224"/>
      <c r="J141" s="257"/>
    </row>
    <row r="142" spans="1:10" ht="12.75">
      <c r="A142" s="229" t="str">
        <f>Data!A24</f>
        <v>  Current Assets</v>
      </c>
      <c r="B142" s="225">
        <f>B118+B121+B124+B127+B130+B133+B136+B139</f>
        <v>17569</v>
      </c>
      <c r="C142" s="225">
        <f aca="true" t="shared" si="19" ref="C142:I142">C118+C121+C124+C127+C130+C133+C136+C139</f>
        <v>17441</v>
      </c>
      <c r="D142" s="225">
        <f t="shared" si="19"/>
        <v>18720</v>
      </c>
      <c r="E142" s="225">
        <f t="shared" si="19"/>
        <v>18289.697907947448</v>
      </c>
      <c r="F142" s="225">
        <f t="shared" si="19"/>
        <v>19069.59203475928</v>
      </c>
      <c r="G142" s="225">
        <f t="shared" si="19"/>
        <v>19895.681771832646</v>
      </c>
      <c r="H142" s="225">
        <f t="shared" si="19"/>
        <v>21165.645270736124</v>
      </c>
      <c r="I142" s="225">
        <f t="shared" si="19"/>
        <v>21696.774431135083</v>
      </c>
      <c r="J142" s="225">
        <f>J118+J121+J124+J127+J130+J133+J136+J139</f>
        <v>22347.67766406914</v>
      </c>
    </row>
    <row r="143" spans="1:10" ht="12.75">
      <c r="A143" s="219" t="s">
        <v>491</v>
      </c>
      <c r="B143" s="220">
        <f>B142/B$169</f>
        <v>0.2577876249027922</v>
      </c>
      <c r="C143" s="220">
        <f>C142/C$169</f>
        <v>0.2393046294009495</v>
      </c>
      <c r="D143" s="220">
        <f>D142/D$169</f>
        <v>0.25081057906160403</v>
      </c>
      <c r="E143" s="227">
        <f aca="true" t="shared" si="20" ref="E143:J143">E142/E169</f>
        <v>0.24105632900204824</v>
      </c>
      <c r="F143" s="227">
        <f t="shared" si="20"/>
        <v>0.24265581218808527</v>
      </c>
      <c r="G143" s="227">
        <f t="shared" si="20"/>
        <v>0.24460454756243943</v>
      </c>
      <c r="H143" s="227">
        <f t="shared" si="20"/>
        <v>0.24799183579939807</v>
      </c>
      <c r="I143" s="227">
        <f t="shared" si="20"/>
        <v>0.2493056547797042</v>
      </c>
      <c r="J143" s="227">
        <f t="shared" si="20"/>
        <v>0.24930565477970423</v>
      </c>
    </row>
    <row r="144" spans="1:10" ht="12.75">
      <c r="A144" s="219" t="s">
        <v>492</v>
      </c>
      <c r="B144" s="220"/>
      <c r="C144" s="220">
        <f>IF(ISERROR(C142/B142-1),"",C142/B142-1)</f>
        <v>-0.007285559792816865</v>
      </c>
      <c r="D144" s="220">
        <f>IF(ISERROR(D142/C142-1),"",D142/C142-1)</f>
        <v>0.0733329510922538</v>
      </c>
      <c r="E144" s="220">
        <f aca="true" t="shared" si="21" ref="E144:J144">IF(ISERROR(E142/D142-1),"",E142/D142-1)</f>
        <v>-0.022986222866055117</v>
      </c>
      <c r="F144" s="220">
        <f t="shared" si="21"/>
        <v>0.042641170495929526</v>
      </c>
      <c r="G144" s="220">
        <f t="shared" si="21"/>
        <v>0.043319738333552404</v>
      </c>
      <c r="H144" s="220">
        <f t="shared" si="21"/>
        <v>0.06383111237240602</v>
      </c>
      <c r="I144" s="220">
        <f t="shared" si="21"/>
        <v>0.02509392714491465</v>
      </c>
      <c r="J144" s="220">
        <f t="shared" si="21"/>
        <v>0.030000000000000027</v>
      </c>
    </row>
    <row r="145" spans="1:15" ht="12.75">
      <c r="A145" s="211" t="str">
        <f>Data!A25</f>
        <v>Investments in noncontrolled affiliates</v>
      </c>
      <c r="B145" s="216">
        <f>Data!E25</f>
        <v>1368</v>
      </c>
      <c r="C145" s="216">
        <f>Data!F25</f>
        <v>1477</v>
      </c>
      <c r="D145" s="216">
        <f>Data!G25</f>
        <v>1633</v>
      </c>
      <c r="E145" s="277">
        <f>D145*(1+E146)</f>
        <v>1763.64</v>
      </c>
      <c r="F145" s="277">
        <f>E145*(1+F146)</f>
        <v>1904.7312000000002</v>
      </c>
      <c r="G145" s="277">
        <f>F145*(1+G146)</f>
        <v>2057.1096960000004</v>
      </c>
      <c r="H145" s="277">
        <f>G145*(1+H146)</f>
        <v>2221.6784716800007</v>
      </c>
      <c r="I145" s="277">
        <f>H145*(1+I146)</f>
        <v>2399.412749414401</v>
      </c>
      <c r="J145" s="250">
        <f>I145*$J$112</f>
        <v>2471.395131896833</v>
      </c>
      <c r="L145" s="253"/>
      <c r="M145" s="253"/>
      <c r="N145" s="253"/>
      <c r="O145" s="253"/>
    </row>
    <row r="146" spans="1:10" ht="12.75">
      <c r="A146" s="219" t="s">
        <v>491</v>
      </c>
      <c r="B146" s="220">
        <f>B145/B$169</f>
        <v>0.020072483969891274</v>
      </c>
      <c r="C146" s="220">
        <f>C145/C$169</f>
        <v>0.020265634861831455</v>
      </c>
      <c r="D146" s="220">
        <f>D145/D$169</f>
        <v>0.02187893566279911</v>
      </c>
      <c r="E146" s="255">
        <v>0.08</v>
      </c>
      <c r="F146" s="255">
        <f>E146</f>
        <v>0.08</v>
      </c>
      <c r="G146" s="255">
        <f>F146</f>
        <v>0.08</v>
      </c>
      <c r="H146" s="255">
        <f>G146</f>
        <v>0.08</v>
      </c>
      <c r="I146" s="255">
        <f>H146</f>
        <v>0.08</v>
      </c>
      <c r="J146" s="251"/>
    </row>
    <row r="147" spans="1:10" ht="12.75">
      <c r="A147" s="219" t="s">
        <v>492</v>
      </c>
      <c r="B147" s="220"/>
      <c r="C147" s="220">
        <f>IF(ISERROR(C145/B145-1),"",C145/B145-1)</f>
        <v>0.07967836257309946</v>
      </c>
      <c r="D147" s="220">
        <f>IF(ISERROR(D145/C145-1),"",D145/C145-1)</f>
        <v>0.1056194989844279</v>
      </c>
      <c r="E147" s="223" t="s">
        <v>776</v>
      </c>
      <c r="F147" s="224"/>
      <c r="G147" s="224"/>
      <c r="H147" s="224"/>
      <c r="I147" s="224"/>
      <c r="J147" s="235"/>
    </row>
    <row r="148" spans="1:10" ht="12.75">
      <c r="A148" s="211" t="str">
        <f>Data!A26</f>
        <v>Property, plant, and equipment—at cost</v>
      </c>
      <c r="B148" s="216">
        <f>Data!E26</f>
        <v>33041</v>
      </c>
      <c r="C148" s="216">
        <f>Data!F26</f>
        <v>35140</v>
      </c>
      <c r="D148" s="216">
        <f>Data!G26</f>
        <v>36162</v>
      </c>
      <c r="E148" s="277">
        <f>'Forecast Development'!E113</f>
        <v>39162</v>
      </c>
      <c r="F148" s="277">
        <f>'Forecast Development'!F113</f>
        <v>42572.12583435072</v>
      </c>
      <c r="G148" s="277">
        <f>'Forecast Development'!G113</f>
        <v>46125.94016822805</v>
      </c>
      <c r="H148" s="277">
        <f>'Forecast Development'!H113</f>
        <v>49902.201172412155</v>
      </c>
      <c r="I148" s="277">
        <f>'Forecast Development'!I113</f>
        <v>53766.39265384231</v>
      </c>
      <c r="J148" s="250">
        <f>I148*$J$112</f>
        <v>55379.384433457584</v>
      </c>
    </row>
    <row r="149" spans="1:10" ht="12.75">
      <c r="A149" s="219" t="s">
        <v>491</v>
      </c>
      <c r="B149" s="220">
        <f>B148/B$169</f>
        <v>0.4848062447727906</v>
      </c>
      <c r="C149" s="220">
        <f>C148/C$169</f>
        <v>0.4821492275184545</v>
      </c>
      <c r="D149" s="220">
        <f>D148/D$169</f>
        <v>0.484498512821887</v>
      </c>
      <c r="E149" s="231"/>
      <c r="F149" s="231"/>
      <c r="G149" s="231"/>
      <c r="H149" s="231"/>
      <c r="I149" s="231"/>
      <c r="J149" s="251"/>
    </row>
    <row r="150" spans="1:10" ht="12.75">
      <c r="A150" s="219" t="s">
        <v>492</v>
      </c>
      <c r="B150" s="220"/>
      <c r="C150" s="220">
        <f>IF(ISERROR(C148/B148-1),"",C148/B148-1)</f>
        <v>0.0635271329560243</v>
      </c>
      <c r="D150" s="220">
        <f>IF(ISERROR(D148/C148-1),"",D148/C148-1)</f>
        <v>0.02908366533864548</v>
      </c>
      <c r="E150" s="223" t="s">
        <v>162</v>
      </c>
      <c r="F150" s="224"/>
      <c r="G150" s="224"/>
      <c r="H150" s="224"/>
      <c r="I150" s="224"/>
      <c r="J150" s="258"/>
    </row>
    <row r="151" spans="1:10" ht="12.75">
      <c r="A151" s="211" t="str">
        <f>Data!A27</f>
        <v>&lt;Accumulated depreciation&gt;</v>
      </c>
      <c r="B151" s="216">
        <f>Data!E27</f>
        <v>-13983</v>
      </c>
      <c r="C151" s="216">
        <f>Data!F27</f>
        <v>-15442</v>
      </c>
      <c r="D151" s="216">
        <f>Data!G27</f>
        <v>-17026</v>
      </c>
      <c r="E151" s="277">
        <f>'Forecast Development'!E118</f>
        <v>-19760.122969902666</v>
      </c>
      <c r="F151" s="277">
        <f>'Forecast Development'!F118</f>
        <v>-22732.326307865107</v>
      </c>
      <c r="G151" s="277">
        <f>'Forecast Development'!G118</f>
        <v>-25952.6417289955</v>
      </c>
      <c r="H151" s="277">
        <f>'Forecast Development'!H118</f>
        <v>-29436.599506284605</v>
      </c>
      <c r="I151" s="277">
        <f>'Forecast Development'!I118</f>
        <v>-33190.33856873485</v>
      </c>
      <c r="J151" s="250">
        <f>I151*$J$112</f>
        <v>-34186.04872579689</v>
      </c>
    </row>
    <row r="152" spans="1:10" ht="12.75">
      <c r="A152" s="219" t="s">
        <v>491</v>
      </c>
      <c r="B152" s="220">
        <f>B151/B$169</f>
        <v>-0.20517071882382287</v>
      </c>
      <c r="C152" s="220">
        <f>C151/C$169</f>
        <v>-0.21187673225213358</v>
      </c>
      <c r="D152" s="220">
        <f>D151/D$169</f>
        <v>-0.22811436533669177</v>
      </c>
      <c r="E152" s="231"/>
      <c r="F152" s="231"/>
      <c r="G152" s="231"/>
      <c r="H152" s="231"/>
      <c r="I152" s="231"/>
      <c r="J152" s="251"/>
    </row>
    <row r="153" spans="1:10" ht="12.75">
      <c r="A153" s="219" t="s">
        <v>492</v>
      </c>
      <c r="B153" s="220"/>
      <c r="C153" s="220">
        <f>IF(ISERROR(C151/B151-1),"",C151/B151-1)</f>
        <v>0.10434098548237136</v>
      </c>
      <c r="D153" s="220">
        <f>IF(ISERROR(D151/C151-1),"",D151/C151-1)</f>
        <v>0.10257738634891855</v>
      </c>
      <c r="E153" s="223" t="s">
        <v>163</v>
      </c>
      <c r="F153" s="224"/>
      <c r="G153" s="224"/>
      <c r="H153" s="224"/>
      <c r="I153" s="224"/>
      <c r="J153" s="252"/>
    </row>
    <row r="154" spans="1:10" ht="12.75">
      <c r="A154" s="211" t="str">
        <f>Data!A28</f>
        <v>Amortizable intangible assets (net)</v>
      </c>
      <c r="B154" s="216">
        <f>Data!E28</f>
        <v>2025</v>
      </c>
      <c r="C154" s="216">
        <f>Data!F28</f>
        <v>1888</v>
      </c>
      <c r="D154" s="216">
        <f>Data!G28</f>
        <v>1781</v>
      </c>
      <c r="E154" s="277">
        <f>D154+E155</f>
        <v>1671</v>
      </c>
      <c r="F154" s="277">
        <f>E154+F155</f>
        <v>1576</v>
      </c>
      <c r="G154" s="277">
        <f>F154+G155</f>
        <v>1490</v>
      </c>
      <c r="H154" s="277">
        <f>G154+H155</f>
        <v>1412</v>
      </c>
      <c r="I154" s="277">
        <f>H154+I155</f>
        <v>1340</v>
      </c>
      <c r="J154" s="250">
        <f>I154*$J$112</f>
        <v>1380.2</v>
      </c>
    </row>
    <row r="155" spans="1:10" ht="12.75">
      <c r="A155" s="219" t="s">
        <v>491</v>
      </c>
      <c r="B155" s="220">
        <f>B154/B$169</f>
        <v>0.02971255850806274</v>
      </c>
      <c r="C155" s="220">
        <f>C154/C$169</f>
        <v>0.025904887352158283</v>
      </c>
      <c r="D155" s="220">
        <f>D154/D$169</f>
        <v>0.023861839813499826</v>
      </c>
      <c r="E155" s="267">
        <f>E37</f>
        <v>-110</v>
      </c>
      <c r="F155" s="267">
        <f>F37</f>
        <v>-95</v>
      </c>
      <c r="G155" s="267">
        <f>G37</f>
        <v>-86</v>
      </c>
      <c r="H155" s="267">
        <f>H37</f>
        <v>-78</v>
      </c>
      <c r="I155" s="267">
        <f>I37</f>
        <v>-72</v>
      </c>
      <c r="J155" s="251"/>
    </row>
    <row r="156" spans="1:10" ht="12.75">
      <c r="A156" s="219" t="s">
        <v>492</v>
      </c>
      <c r="B156" s="220"/>
      <c r="C156" s="220">
        <f>IF(ISERROR(C154/B154-1),"",C154/B154-1)</f>
        <v>-0.06765432098765434</v>
      </c>
      <c r="D156" s="220">
        <f>IF(ISERROR(D154/C154-1),"",D154/C154-1)</f>
        <v>-0.056673728813559365</v>
      </c>
      <c r="E156" s="223" t="s">
        <v>780</v>
      </c>
      <c r="F156" s="224"/>
      <c r="G156" s="224"/>
      <c r="H156" s="224"/>
      <c r="I156" s="224"/>
      <c r="J156" s="252"/>
    </row>
    <row r="157" spans="1:10" ht="12.75">
      <c r="A157" s="211" t="str">
        <f>Data!A29</f>
        <v>Goodwill</v>
      </c>
      <c r="B157" s="216">
        <f>Data!E29</f>
        <v>14661</v>
      </c>
      <c r="C157" s="216">
        <f>Data!F29</f>
        <v>16800</v>
      </c>
      <c r="D157" s="216">
        <f>Data!G29</f>
        <v>16971</v>
      </c>
      <c r="E157" s="277">
        <f>D157*(1+E158)</f>
        <v>17672.317064896477</v>
      </c>
      <c r="F157" s="277">
        <f>E157*(1+F158)</f>
        <v>18409.769365840508</v>
      </c>
      <c r="G157" s="277">
        <f>F157*(1+G158)</f>
        <v>19185.480370449877</v>
      </c>
      <c r="H157" s="277">
        <f>G157*(1+H158)</f>
        <v>20386.372095703915</v>
      </c>
      <c r="I157" s="277">
        <f>H157*(1+I158)</f>
        <v>20861.070064330765</v>
      </c>
      <c r="J157" s="250">
        <f>I157*$J$112</f>
        <v>21486.902166260686</v>
      </c>
    </row>
    <row r="158" spans="1:10" ht="12.75">
      <c r="A158" s="219" t="s">
        <v>491</v>
      </c>
      <c r="B158" s="220">
        <f>B157/B$169</f>
        <v>0.21511892359837426</v>
      </c>
      <c r="C158" s="220">
        <f>C157/C$169</f>
        <v>0.23050959084547626</v>
      </c>
      <c r="D158" s="220">
        <f>D157/D$169</f>
        <v>0.22737747528068813</v>
      </c>
      <c r="E158" s="234">
        <f>E22</f>
        <v>0.041324439626214016</v>
      </c>
      <c r="F158" s="234">
        <f>F22</f>
        <v>0.041729236649385104</v>
      </c>
      <c r="G158" s="234">
        <f>G22</f>
        <v>0.04213583501207285</v>
      </c>
      <c r="H158" s="234">
        <f>H22</f>
        <v>0.06259377936158916</v>
      </c>
      <c r="I158" s="234">
        <f>I22</f>
        <v>0.023285063492335834</v>
      </c>
      <c r="J158" s="251"/>
    </row>
    <row r="159" spans="1:10" ht="12.75">
      <c r="A159" s="219" t="s">
        <v>492</v>
      </c>
      <c r="B159" s="220"/>
      <c r="C159" s="220">
        <f>IF(ISERROR(C157/B157-1),"",C157/B157-1)</f>
        <v>0.1458972784939636</v>
      </c>
      <c r="D159" s="220">
        <f>IF(ISERROR(D157/C157-1),"",D157/C157-1)</f>
        <v>0.01017857142857137</v>
      </c>
      <c r="E159" s="223" t="s">
        <v>161</v>
      </c>
      <c r="F159" s="224"/>
      <c r="G159" s="224"/>
      <c r="H159" s="224"/>
      <c r="I159" s="224"/>
      <c r="J159" s="252"/>
    </row>
    <row r="160" spans="1:10" ht="12.75">
      <c r="A160" s="229" t="str">
        <f>Data!A30</f>
        <v>Other nonamortizable intangible assets</v>
      </c>
      <c r="B160" s="216">
        <f>Data!E30</f>
        <v>11783</v>
      </c>
      <c r="C160" s="216">
        <f>Data!F30</f>
        <v>14557</v>
      </c>
      <c r="D160" s="216">
        <f>Data!G30</f>
        <v>14744</v>
      </c>
      <c r="E160" s="277">
        <f>D160*(1+E161)</f>
        <v>15353.287537848899</v>
      </c>
      <c r="F160" s="277">
        <f>E160*(1+F161)</f>
        <v>15993.968506861851</v>
      </c>
      <c r="G160" s="277">
        <f>F160*(1+G161)</f>
        <v>16667.887725055272</v>
      </c>
      <c r="H160" s="277">
        <f>G160*(1+H161)</f>
        <v>17711.193811741123</v>
      </c>
      <c r="I160" s="277">
        <f>H160*(1+I161)</f>
        <v>18123.60008417258</v>
      </c>
      <c r="J160" s="250">
        <f>I160*$J$112</f>
        <v>18667.308086697758</v>
      </c>
    </row>
    <row r="161" spans="1:10" ht="12.75">
      <c r="A161" s="219" t="s">
        <v>491</v>
      </c>
      <c r="B161" s="220">
        <f>B160/B$169</f>
        <v>0.17289040834592753</v>
      </c>
      <c r="C161" s="220">
        <f>C160/C$169</f>
        <v>0.1997338163058094</v>
      </c>
      <c r="D161" s="220">
        <f>D160/D$169</f>
        <v>0.19754012701304965</v>
      </c>
      <c r="E161" s="234">
        <f>E22</f>
        <v>0.041324439626214016</v>
      </c>
      <c r="F161" s="234">
        <f>F22</f>
        <v>0.041729236649385104</v>
      </c>
      <c r="G161" s="234">
        <f>G22</f>
        <v>0.04213583501207285</v>
      </c>
      <c r="H161" s="234">
        <f>H22</f>
        <v>0.06259377936158916</v>
      </c>
      <c r="I161" s="234">
        <f>I22</f>
        <v>0.023285063492335834</v>
      </c>
      <c r="J161" s="251"/>
    </row>
    <row r="162" spans="1:10" ht="12.75">
      <c r="A162" s="219" t="s">
        <v>492</v>
      </c>
      <c r="B162" s="220"/>
      <c r="C162" s="220">
        <f>IF(ISERROR(C160/B160-1),"",C160/B160-1)</f>
        <v>0.23542391581091393</v>
      </c>
      <c r="D162" s="220">
        <f>IF(ISERROR(D160/C160-1),"",D160/C160-1)</f>
        <v>0.012846053445078054</v>
      </c>
      <c r="E162" s="223" t="s">
        <v>161</v>
      </c>
      <c r="F162" s="224"/>
      <c r="G162" s="224"/>
      <c r="H162" s="224"/>
      <c r="I162" s="224"/>
      <c r="J162" s="252"/>
    </row>
    <row r="163" spans="1:10" ht="12.75">
      <c r="A163" s="229" t="str">
        <f>Data!A31</f>
        <v>Deferred tax assets—non current</v>
      </c>
      <c r="B163" s="229">
        <f>Data!E31</f>
        <v>0</v>
      </c>
      <c r="C163" s="229">
        <f>Data!F31</f>
        <v>0</v>
      </c>
      <c r="D163" s="229">
        <f>Data!G31</f>
        <v>0</v>
      </c>
      <c r="E163" s="277">
        <f>D163*(1+E164)</f>
        <v>0</v>
      </c>
      <c r="F163" s="277">
        <f>E163*(1+F164)</f>
        <v>0</v>
      </c>
      <c r="G163" s="277">
        <f>F163*(1+G164)</f>
        <v>0</v>
      </c>
      <c r="H163" s="277">
        <f>G163*(1+H164)</f>
        <v>0</v>
      </c>
      <c r="I163" s="277">
        <f>H163*(1+I164)</f>
        <v>0</v>
      </c>
      <c r="J163" s="250">
        <f>I163*$J$112</f>
        <v>0</v>
      </c>
    </row>
    <row r="164" spans="1:10" ht="12.75">
      <c r="A164" s="219" t="s">
        <v>491</v>
      </c>
      <c r="B164" s="220">
        <f>B163/B$169</f>
        <v>0</v>
      </c>
      <c r="C164" s="220">
        <f>C163/C$169</f>
        <v>0</v>
      </c>
      <c r="D164" s="220">
        <f>D163/D$169</f>
        <v>0</v>
      </c>
      <c r="E164" s="234">
        <v>0</v>
      </c>
      <c r="F164" s="234">
        <v>0</v>
      </c>
      <c r="G164" s="234">
        <v>0</v>
      </c>
      <c r="H164" s="234">
        <v>0</v>
      </c>
      <c r="I164" s="234">
        <v>0</v>
      </c>
      <c r="J164" s="251"/>
    </row>
    <row r="165" spans="1:10" ht="12.75">
      <c r="A165" s="219" t="s">
        <v>492</v>
      </c>
      <c r="B165" s="220"/>
      <c r="C165" s="220">
        <f>IF(ISERROR(C163/B163-1),"",C163/B163-1)</f>
      </c>
      <c r="D165" s="220">
        <f>IF(ISERROR(D163/C163-1),"",D163/C163-1)</f>
      </c>
      <c r="E165" s="223" t="s">
        <v>23</v>
      </c>
      <c r="F165" s="224"/>
      <c r="G165" s="224"/>
      <c r="H165" s="224"/>
      <c r="I165" s="224"/>
      <c r="J165" s="252"/>
    </row>
    <row r="166" spans="1:10" ht="12.75">
      <c r="A166" s="211" t="str">
        <f>Data!A32</f>
        <v>Other assets </v>
      </c>
      <c r="B166" s="216">
        <f>Data!E32</f>
        <v>1689</v>
      </c>
      <c r="C166" s="216">
        <f>Data!F32</f>
        <v>1021</v>
      </c>
      <c r="D166" s="216">
        <f>Data!G32</f>
        <v>1653</v>
      </c>
      <c r="E166" s="277">
        <f>D166*(1+E167)</f>
        <v>1721.3092987021319</v>
      </c>
      <c r="F166" s="277">
        <f>E166*(1+F167)</f>
        <v>1793.1382217744601</v>
      </c>
      <c r="G166" s="277">
        <f>F166*(1+G167)</f>
        <v>1868.6935980409905</v>
      </c>
      <c r="H166" s="277">
        <f>G166*(1+H167)</f>
        <v>1985.6621928111824</v>
      </c>
      <c r="I166" s="277">
        <f>H166*(1+I167)</f>
        <v>2031.8984630451216</v>
      </c>
      <c r="J166" s="250">
        <f>I166*$J$112</f>
        <v>2092.855416936475</v>
      </c>
    </row>
    <row r="167" spans="1:10" ht="12.75">
      <c r="A167" s="219" t="s">
        <v>491</v>
      </c>
      <c r="B167" s="220">
        <f>B166/B$169</f>
        <v>0.02478247472598418</v>
      </c>
      <c r="C167" s="220">
        <f>C166/C$169</f>
        <v>0.014008945967454242</v>
      </c>
      <c r="D167" s="220">
        <f>D166/D$169</f>
        <v>0.02214689568316407</v>
      </c>
      <c r="E167" s="234">
        <f>E22</f>
        <v>0.041324439626214016</v>
      </c>
      <c r="F167" s="234">
        <f>F22</f>
        <v>0.041729236649385104</v>
      </c>
      <c r="G167" s="234">
        <f>G22</f>
        <v>0.04213583501207285</v>
      </c>
      <c r="H167" s="234">
        <f>H22</f>
        <v>0.06259377936158916</v>
      </c>
      <c r="I167" s="234">
        <f>I22</f>
        <v>0.023285063492335834</v>
      </c>
      <c r="J167" s="256"/>
    </row>
    <row r="168" spans="1:10" ht="12.75">
      <c r="A168" s="219" t="s">
        <v>492</v>
      </c>
      <c r="B168" s="220"/>
      <c r="C168" s="220">
        <f>IF(ISERROR(C166/B166-1),"",C166/B166-1)</f>
        <v>-0.39550029603315573</v>
      </c>
      <c r="D168" s="220">
        <f>IF(ISERROR(D166/C166-1),"",D166/C166-1)</f>
        <v>0.6190009794319296</v>
      </c>
      <c r="E168" s="223" t="s">
        <v>161</v>
      </c>
      <c r="F168" s="224"/>
      <c r="G168" s="224"/>
      <c r="H168" s="224"/>
      <c r="I168" s="224"/>
      <c r="J168" s="257"/>
    </row>
    <row r="169" spans="1:10" ht="13.5" thickBot="1">
      <c r="A169" s="229" t="str">
        <f>Data!A33</f>
        <v>   Total Assets</v>
      </c>
      <c r="B169" s="236">
        <f aca="true" t="shared" si="22" ref="B169:J169">B142+B145+B148+B151+B154+B157+B160+B163+B166</f>
        <v>68153</v>
      </c>
      <c r="C169" s="236">
        <f t="shared" si="22"/>
        <v>72882</v>
      </c>
      <c r="D169" s="236">
        <f t="shared" si="22"/>
        <v>74638</v>
      </c>
      <c r="E169" s="236">
        <f t="shared" si="22"/>
        <v>75873.12883949229</v>
      </c>
      <c r="F169" s="236">
        <f t="shared" si="22"/>
        <v>78586.99885572171</v>
      </c>
      <c r="G169" s="236">
        <f t="shared" si="22"/>
        <v>81338.15160061134</v>
      </c>
      <c r="H169" s="236">
        <f t="shared" si="22"/>
        <v>85348.1535087999</v>
      </c>
      <c r="I169" s="236">
        <f t="shared" si="22"/>
        <v>87028.8098772054</v>
      </c>
      <c r="J169" s="236">
        <f t="shared" si="22"/>
        <v>89639.67417352158</v>
      </c>
    </row>
    <row r="170" spans="1:10" ht="13.5" thickTop="1">
      <c r="A170" s="219" t="s">
        <v>491</v>
      </c>
      <c r="B170" s="220">
        <f aca="true" t="shared" si="23" ref="B170:J170">B169/B$169</f>
        <v>1</v>
      </c>
      <c r="C170" s="220">
        <f t="shared" si="23"/>
        <v>1</v>
      </c>
      <c r="D170" s="220">
        <f t="shared" si="23"/>
        <v>1</v>
      </c>
      <c r="E170" s="220">
        <f t="shared" si="23"/>
        <v>1</v>
      </c>
      <c r="F170" s="220">
        <f t="shared" si="23"/>
        <v>1</v>
      </c>
      <c r="G170" s="220">
        <f t="shared" si="23"/>
        <v>1</v>
      </c>
      <c r="H170" s="220">
        <f t="shared" si="23"/>
        <v>1</v>
      </c>
      <c r="I170" s="220">
        <f t="shared" si="23"/>
        <v>1</v>
      </c>
      <c r="J170" s="220">
        <f t="shared" si="23"/>
        <v>1</v>
      </c>
    </row>
    <row r="171" spans="1:10" ht="12.75">
      <c r="A171" s="219" t="s">
        <v>492</v>
      </c>
      <c r="B171" s="220"/>
      <c r="C171" s="220">
        <f aca="true" t="shared" si="24" ref="C171:J171">IF(ISERROR(C169/B169-1),"",C169/B169-1)</f>
        <v>0.06938799465907586</v>
      </c>
      <c r="D171" s="220">
        <f t="shared" si="24"/>
        <v>0.02409374056694391</v>
      </c>
      <c r="E171" s="220">
        <f t="shared" si="24"/>
        <v>0.01654825744918531</v>
      </c>
      <c r="F171" s="220">
        <f t="shared" si="24"/>
        <v>0.03576852645645534</v>
      </c>
      <c r="G171" s="220">
        <f t="shared" si="24"/>
        <v>0.03500773391207468</v>
      </c>
      <c r="H171" s="220">
        <f t="shared" si="24"/>
        <v>0.04930038154639371</v>
      </c>
      <c r="I171" s="220">
        <f t="shared" si="24"/>
        <v>0.019691771869818187</v>
      </c>
      <c r="J171" s="220">
        <f t="shared" si="24"/>
        <v>0.030000000000000027</v>
      </c>
    </row>
    <row r="172" spans="1:10" ht="12.75">
      <c r="A172" s="211"/>
      <c r="B172" s="610"/>
      <c r="C172" s="610"/>
      <c r="D172" s="610"/>
      <c r="E172" s="610"/>
      <c r="F172" s="610"/>
      <c r="G172" s="610"/>
      <c r="H172" s="610"/>
      <c r="I172" s="610"/>
      <c r="J172" s="259"/>
    </row>
    <row r="173" spans="1:11" ht="12.75">
      <c r="A173" s="211" t="s">
        <v>463</v>
      </c>
      <c r="B173" s="607"/>
      <c r="C173" s="607"/>
      <c r="D173" s="607"/>
      <c r="E173" s="607"/>
      <c r="F173" s="607"/>
      <c r="G173" s="607"/>
      <c r="H173" s="607"/>
      <c r="I173" s="607"/>
      <c r="J173" s="49"/>
      <c r="K173" s="49"/>
    </row>
    <row r="174" spans="1:10" ht="12.75">
      <c r="A174" s="229" t="str">
        <f>Data!A36</f>
        <v>Accounts payable</v>
      </c>
      <c r="B174" s="216">
        <f>Data!E36</f>
        <v>3865</v>
      </c>
      <c r="C174" s="216">
        <f>Data!F36</f>
        <v>4083</v>
      </c>
      <c r="D174" s="216">
        <f>Data!G36</f>
        <v>4451</v>
      </c>
      <c r="E174" s="277">
        <f>(-E24+E127-D127)/365*E175</f>
        <v>4523.834002552899</v>
      </c>
      <c r="F174" s="277">
        <f>(-F24+F127-E127)/365*F175</f>
        <v>4701.488229510603</v>
      </c>
      <c r="G174" s="277">
        <f>(-G24+G127-F127)/365*G175</f>
        <v>4910.297718163328</v>
      </c>
      <c r="H174" s="277">
        <f>(-H24+H127-G127)/365*H175</f>
        <v>5240.605392600984</v>
      </c>
      <c r="I174" s="277">
        <f>(-I24+I127-H127)/365*I175</f>
        <v>5350.24600824407</v>
      </c>
      <c r="J174" s="250">
        <f>I174*$J$112</f>
        <v>5510.753388491393</v>
      </c>
    </row>
    <row r="175" spans="1:10" ht="12.75">
      <c r="A175" s="219" t="s">
        <v>491</v>
      </c>
      <c r="B175" s="220">
        <f>B174/B$169</f>
        <v>0.05671063636230247</v>
      </c>
      <c r="C175" s="220">
        <f>C174/C$169</f>
        <v>0.05602206306083807</v>
      </c>
      <c r="D175" s="220">
        <f>D174/D$169</f>
        <v>0.059634502532222196</v>
      </c>
      <c r="E175" s="231">
        <v>50</v>
      </c>
      <c r="F175" s="231">
        <f>E175</f>
        <v>50</v>
      </c>
      <c r="G175" s="231">
        <f>F175</f>
        <v>50</v>
      </c>
      <c r="H175" s="231">
        <f>G175</f>
        <v>50</v>
      </c>
      <c r="I175" s="231">
        <f>H175</f>
        <v>50</v>
      </c>
      <c r="J175" s="251"/>
    </row>
    <row r="176" spans="1:10" ht="12.75">
      <c r="A176" s="219" t="s">
        <v>492</v>
      </c>
      <c r="B176" s="220"/>
      <c r="C176" s="220">
        <f>IF(ISERROR(C174/B174-1),"",C174/B174-1)</f>
        <v>0.05640362225097029</v>
      </c>
      <c r="D176" s="220">
        <f>IF(ISERROR(D174/C174-1),"",D174/C174-1)</f>
        <v>0.0901298065148175</v>
      </c>
      <c r="E176" s="223" t="s">
        <v>775</v>
      </c>
      <c r="F176" s="224"/>
      <c r="G176" s="224"/>
      <c r="H176" s="224"/>
      <c r="I176" s="224"/>
      <c r="J176" s="252"/>
    </row>
    <row r="177" spans="1:10" ht="12.75">
      <c r="A177" s="229" t="str">
        <f>Data!A37</f>
        <v>Current accrued expenses</v>
      </c>
      <c r="B177" s="216">
        <f>Data!E37</f>
        <v>7058</v>
      </c>
      <c r="C177" s="216">
        <f>Data!F37</f>
        <v>7674</v>
      </c>
      <c r="D177" s="216">
        <f>Data!G37</f>
        <v>7452</v>
      </c>
      <c r="E177" s="277">
        <f>D177*(1+E178)</f>
        <v>7759.949724094547</v>
      </c>
      <c r="F177" s="277">
        <f>E177*(1+F178)</f>
        <v>8083.766502518619</v>
      </c>
      <c r="G177" s="277">
        <f>F177*(1+G178)</f>
        <v>8424.382754144865</v>
      </c>
      <c r="H177" s="277">
        <f>G177*(1+H178)</f>
        <v>8951.696709515385</v>
      </c>
      <c r="I177" s="277">
        <f>H177*(1+I178)</f>
        <v>9160.137535760585</v>
      </c>
      <c r="J177" s="250">
        <f>I177*$J$112</f>
        <v>9434.941661833403</v>
      </c>
    </row>
    <row r="178" spans="1:10" ht="12.75">
      <c r="A178" s="219" t="s">
        <v>491</v>
      </c>
      <c r="B178" s="220">
        <f>B177/B$169</f>
        <v>0.10356110516044782</v>
      </c>
      <c r="C178" s="220">
        <f>C177/C$169</f>
        <v>0.10529348810405861</v>
      </c>
      <c r="D178" s="220">
        <f>D177/D$169</f>
        <v>0.09984190358798467</v>
      </c>
      <c r="E178" s="234">
        <f>E22</f>
        <v>0.041324439626214016</v>
      </c>
      <c r="F178" s="234">
        <f>F22</f>
        <v>0.041729236649385104</v>
      </c>
      <c r="G178" s="234">
        <f>G22</f>
        <v>0.04213583501207285</v>
      </c>
      <c r="H178" s="234">
        <f>H22</f>
        <v>0.06259377936158916</v>
      </c>
      <c r="I178" s="234">
        <f>I22</f>
        <v>0.023285063492335834</v>
      </c>
      <c r="J178" s="251"/>
    </row>
    <row r="179" spans="1:10" ht="12.75">
      <c r="A179" s="219" t="s">
        <v>492</v>
      </c>
      <c r="B179" s="220"/>
      <c r="C179" s="220">
        <f>IF(ISERROR(C177/B177-1),"",C177/B177-1)</f>
        <v>0.08727684896571275</v>
      </c>
      <c r="D179" s="220">
        <f>IF(ISERROR(D177/C177-1),"",D177/C177-1)</f>
        <v>-0.02892885066458173</v>
      </c>
      <c r="E179" s="223" t="s">
        <v>434</v>
      </c>
      <c r="F179" s="224"/>
      <c r="G179" s="224"/>
      <c r="H179" s="224"/>
      <c r="I179" s="224"/>
      <c r="J179" s="252"/>
    </row>
    <row r="180" spans="1:10" ht="12.75">
      <c r="A180" s="229" t="str">
        <f>Data!A38</f>
        <v>Notes payable and short-term debt</v>
      </c>
      <c r="B180" s="216">
        <f>Data!E38</f>
        <v>4898</v>
      </c>
      <c r="C180" s="216">
        <f>Data!F38</f>
        <v>6205</v>
      </c>
      <c r="D180" s="216">
        <f>Data!G38</f>
        <v>4815</v>
      </c>
      <c r="E180" s="277">
        <f>D180*(1+E181)</f>
        <v>4942.829859617827</v>
      </c>
      <c r="F180" s="277">
        <f>E180*(1+F181)</f>
        <v>5169.0558988175035</v>
      </c>
      <c r="G180" s="277">
        <f>F180*(1+G181)</f>
        <v>5401.703391288122</v>
      </c>
      <c r="H180" s="277">
        <f>G180*(1+H181)</f>
        <v>5722.026463391956</v>
      </c>
      <c r="I180" s="277">
        <f>H180*(1+I181)</f>
        <v>5891.923567776053</v>
      </c>
      <c r="J180" s="250">
        <f>I180*$J$112</f>
        <v>6068.681274809334</v>
      </c>
    </row>
    <row r="181" spans="1:10" ht="12.75">
      <c r="A181" s="219" t="s">
        <v>491</v>
      </c>
      <c r="B181" s="220">
        <f>B180/B$169</f>
        <v>0.07186770941851423</v>
      </c>
      <c r="C181" s="220">
        <f>C180/C$169</f>
        <v>0.08513761971405834</v>
      </c>
      <c r="D181" s="220">
        <f>D180/D$169</f>
        <v>0.06451137490286449</v>
      </c>
      <c r="E181" s="234">
        <f>E171+0.01</f>
        <v>0.026548257449185313</v>
      </c>
      <c r="F181" s="234">
        <f>F171+0.01</f>
        <v>0.04576852645645534</v>
      </c>
      <c r="G181" s="234">
        <f>G171+0.01</f>
        <v>0.04500773391207468</v>
      </c>
      <c r="H181" s="234">
        <f>H171+0.01</f>
        <v>0.059300381546393714</v>
      </c>
      <c r="I181" s="234">
        <f>I171+0.01</f>
        <v>0.02969177186981819</v>
      </c>
      <c r="J181" s="251"/>
    </row>
    <row r="182" spans="1:10" ht="12.75">
      <c r="A182" s="219" t="s">
        <v>492</v>
      </c>
      <c r="B182" s="220"/>
      <c r="C182" s="220">
        <f>IF(ISERROR(C180/B180-1),"",C180/B180-1)</f>
        <v>0.26684360963658627</v>
      </c>
      <c r="D182" s="220">
        <f>IF(ISERROR(D180/C180-1),"",D180/C180-1)</f>
        <v>-0.22401289282836423</v>
      </c>
      <c r="E182" s="223" t="s">
        <v>785</v>
      </c>
      <c r="F182" s="224"/>
      <c r="G182" s="224"/>
      <c r="H182" s="224"/>
      <c r="I182" s="224"/>
      <c r="J182" s="235"/>
    </row>
    <row r="183" spans="1:10" ht="12.75">
      <c r="A183" s="211" t="str">
        <f>Data!A39</f>
        <v>Current maturities of long-term debt</v>
      </c>
      <c r="B183" s="216">
        <f>Data!E39</f>
        <v>0</v>
      </c>
      <c r="C183" s="216">
        <f>Data!F39</f>
        <v>0</v>
      </c>
      <c r="D183" s="216">
        <f>Data!G39</f>
        <v>0</v>
      </c>
      <c r="E183" s="277">
        <f>E184</f>
        <v>0</v>
      </c>
      <c r="F183" s="277">
        <f>F184</f>
        <v>0</v>
      </c>
      <c r="G183" s="277">
        <f>G184</f>
        <v>0</v>
      </c>
      <c r="H183" s="277">
        <f>H184</f>
        <v>0</v>
      </c>
      <c r="I183" s="277">
        <f>I184</f>
        <v>0</v>
      </c>
      <c r="J183" s="250">
        <f>I183*$J$112</f>
        <v>0</v>
      </c>
    </row>
    <row r="184" spans="1:10" ht="12.75">
      <c r="A184" s="219" t="s">
        <v>491</v>
      </c>
      <c r="B184" s="220">
        <f>B183/B$169</f>
        <v>0</v>
      </c>
      <c r="C184" s="220">
        <f>C183/C$169</f>
        <v>0</v>
      </c>
      <c r="D184" s="220">
        <f>D183/D$169</f>
        <v>0</v>
      </c>
      <c r="E184" s="608">
        <v>0</v>
      </c>
      <c r="F184" s="608">
        <v>0</v>
      </c>
      <c r="G184" s="608">
        <v>0</v>
      </c>
      <c r="H184" s="608">
        <v>0</v>
      </c>
      <c r="I184" s="608">
        <v>0</v>
      </c>
      <c r="J184" s="251"/>
    </row>
    <row r="185" spans="1:10" ht="12.75">
      <c r="A185" s="219" t="s">
        <v>492</v>
      </c>
      <c r="B185" s="220"/>
      <c r="C185" s="220">
        <f>IF(ISERROR(C183/B183-1),"",C183/B183-1)</f>
      </c>
      <c r="D185" s="220">
        <f>IF(ISERROR(D183/C183-1),"",D183/C183-1)</f>
      </c>
      <c r="E185" s="223" t="s">
        <v>23</v>
      </c>
      <c r="F185" s="224"/>
      <c r="G185" s="224"/>
      <c r="H185" s="224"/>
      <c r="I185" s="224"/>
      <c r="J185" s="260"/>
    </row>
    <row r="186" spans="1:10" ht="12.75">
      <c r="A186" s="229" t="str">
        <f>Data!A40</f>
        <v>Deferred tax liabilities—current</v>
      </c>
      <c r="B186" s="216">
        <f>Data!E40</f>
        <v>0</v>
      </c>
      <c r="C186" s="216">
        <f>Data!F40</f>
        <v>0</v>
      </c>
      <c r="D186" s="216">
        <f>Data!G40</f>
        <v>0</v>
      </c>
      <c r="E186" s="277">
        <f>D186*(1+E187)</f>
        <v>0</v>
      </c>
      <c r="F186" s="277">
        <f>E186*(1+F187)</f>
        <v>0</v>
      </c>
      <c r="G186" s="277">
        <f>F186*(1+G187)</f>
        <v>0</v>
      </c>
      <c r="H186" s="277">
        <f>G186*(1+H187)</f>
        <v>0</v>
      </c>
      <c r="I186" s="277">
        <f>H186*(1+I187)</f>
        <v>0</v>
      </c>
      <c r="J186" s="250">
        <f>I186*$J$112</f>
        <v>0</v>
      </c>
    </row>
    <row r="187" spans="1:10" ht="12.75">
      <c r="A187" s="219" t="s">
        <v>491</v>
      </c>
      <c r="B187" s="220">
        <f>B186/B$169</f>
        <v>0</v>
      </c>
      <c r="C187" s="220">
        <f>C186/C$169</f>
        <v>0</v>
      </c>
      <c r="D187" s="220">
        <f>D186/D$169</f>
        <v>0</v>
      </c>
      <c r="E187" s="234">
        <v>0</v>
      </c>
      <c r="F187" s="234">
        <f>E187</f>
        <v>0</v>
      </c>
      <c r="G187" s="234">
        <f>F187</f>
        <v>0</v>
      </c>
      <c r="H187" s="234">
        <f>G187</f>
        <v>0</v>
      </c>
      <c r="I187" s="234">
        <f>H187</f>
        <v>0</v>
      </c>
      <c r="J187" s="251"/>
    </row>
    <row r="188" spans="1:10" ht="12.75">
      <c r="A188" s="219" t="s">
        <v>492</v>
      </c>
      <c r="B188" s="220"/>
      <c r="C188" s="220">
        <f>IF(ISERROR(C186/B186-1),"",C186/B186-1)</f>
      </c>
      <c r="D188" s="220">
        <f>IF(ISERROR(D186/C186-1),"",D186/C186-1)</f>
      </c>
      <c r="E188" s="223" t="s">
        <v>23</v>
      </c>
      <c r="F188" s="224"/>
      <c r="G188" s="224"/>
      <c r="H188" s="224"/>
      <c r="I188" s="224"/>
      <c r="J188" s="235"/>
    </row>
    <row r="189" spans="1:10" ht="12.75">
      <c r="A189" s="229" t="str">
        <f>Data!A41</f>
        <v>Income taxes payable</v>
      </c>
      <c r="B189" s="216">
        <f>Data!E41</f>
        <v>71</v>
      </c>
      <c r="C189" s="216">
        <f>Data!F41</f>
        <v>192</v>
      </c>
      <c r="D189" s="216">
        <f>Data!G41</f>
        <v>371</v>
      </c>
      <c r="E189" s="277">
        <f>E169*E190</f>
        <v>379.36564419746145</v>
      </c>
      <c r="F189" s="277">
        <f>F169*F190</f>
        <v>392.9349942786086</v>
      </c>
      <c r="G189" s="277">
        <f>G169*G190</f>
        <v>406.6907580030567</v>
      </c>
      <c r="H189" s="277">
        <f>H169*H190</f>
        <v>426.7407675439995</v>
      </c>
      <c r="I189" s="277">
        <f>I169*I190</f>
        <v>435.14404938602706</v>
      </c>
      <c r="J189" s="250">
        <f>I189*$J$112</f>
        <v>448.1983708676079</v>
      </c>
    </row>
    <row r="190" spans="1:10" ht="12.75">
      <c r="A190" s="219" t="s">
        <v>491</v>
      </c>
      <c r="B190" s="220">
        <f>B189/B$169</f>
        <v>0.0010417736563320763</v>
      </c>
      <c r="C190" s="220">
        <f>C189/C$169</f>
        <v>0.0026343953239483</v>
      </c>
      <c r="D190" s="220">
        <f>D189/D$169</f>
        <v>0.004970658377770037</v>
      </c>
      <c r="E190" s="234">
        <v>0.005</v>
      </c>
      <c r="F190" s="234">
        <v>0.005</v>
      </c>
      <c r="G190" s="234">
        <v>0.005</v>
      </c>
      <c r="H190" s="234">
        <v>0.005</v>
      </c>
      <c r="I190" s="234">
        <v>0.005</v>
      </c>
      <c r="J190" s="256"/>
    </row>
    <row r="191" spans="1:10" ht="12.75">
      <c r="A191" s="219" t="s">
        <v>492</v>
      </c>
      <c r="B191" s="220"/>
      <c r="C191" s="220">
        <f>IF(ISERROR(C189/B189-1),"",C189/B189-1)</f>
        <v>1.704225352112676</v>
      </c>
      <c r="D191" s="220">
        <f>IF(ISERROR(D189/C189-1),"",D189/C189-1)</f>
        <v>0.9322916666666667</v>
      </c>
      <c r="E191" s="223" t="s">
        <v>781</v>
      </c>
      <c r="F191" s="224"/>
      <c r="G191" s="224"/>
      <c r="H191" s="224"/>
      <c r="I191" s="224"/>
      <c r="J191" s="257"/>
    </row>
    <row r="192" spans="1:10" ht="12.75">
      <c r="A192" s="229" t="str">
        <f>Data!A42</f>
        <v>Other current liabilities (2)</v>
      </c>
      <c r="B192" s="216">
        <f>Data!E42</f>
        <v>0</v>
      </c>
      <c r="C192" s="216">
        <f>Data!F42</f>
        <v>0</v>
      </c>
      <c r="D192" s="216">
        <f>Data!G42</f>
        <v>0</v>
      </c>
      <c r="E192" s="277">
        <f>D192*(1+E193)</f>
        <v>0</v>
      </c>
      <c r="F192" s="277">
        <f>E192*(1+F193)</f>
        <v>0</v>
      </c>
      <c r="G192" s="277">
        <f>F192*(1+G193)</f>
        <v>0</v>
      </c>
      <c r="H192" s="277">
        <f>G192*(1+H193)</f>
        <v>0</v>
      </c>
      <c r="I192" s="277">
        <f>H192*(1+I193)</f>
        <v>0</v>
      </c>
      <c r="J192" s="250">
        <f>I192*$J$112</f>
        <v>0</v>
      </c>
    </row>
    <row r="193" spans="1:10" ht="12.75">
      <c r="A193" s="219" t="s">
        <v>491</v>
      </c>
      <c r="B193" s="220">
        <f>B192/B$169</f>
        <v>0</v>
      </c>
      <c r="C193" s="220">
        <f>C192/C$169</f>
        <v>0</v>
      </c>
      <c r="D193" s="220">
        <f>D192/D$169</f>
        <v>0</v>
      </c>
      <c r="E193" s="234">
        <v>0</v>
      </c>
      <c r="F193" s="234">
        <f>E193</f>
        <v>0</v>
      </c>
      <c r="G193" s="234">
        <f>F193</f>
        <v>0</v>
      </c>
      <c r="H193" s="234">
        <f>G193</f>
        <v>0</v>
      </c>
      <c r="I193" s="234">
        <f>H193</f>
        <v>0</v>
      </c>
      <c r="J193" s="256"/>
    </row>
    <row r="194" spans="1:10" ht="12.75">
      <c r="A194" s="219" t="s">
        <v>492</v>
      </c>
      <c r="B194" s="220"/>
      <c r="C194" s="220">
        <f>IF(ISERROR(C192/B192-1),"",C192/B192-1)</f>
      </c>
      <c r="D194" s="220">
        <f>IF(ISERROR(D192/C192-1),"",D192/C192-1)</f>
      </c>
      <c r="E194" s="223" t="s">
        <v>23</v>
      </c>
      <c r="F194" s="224"/>
      <c r="G194" s="224"/>
      <c r="H194" s="224"/>
      <c r="I194" s="224"/>
      <c r="J194" s="257"/>
    </row>
    <row r="195" spans="1:10" ht="12.75">
      <c r="A195" s="229" t="str">
        <f>Data!A43</f>
        <v>Other current liabilities (1)</v>
      </c>
      <c r="B195" s="216">
        <f>Data!E43</f>
        <v>0</v>
      </c>
      <c r="C195" s="216">
        <f>Data!F43</f>
        <v>0</v>
      </c>
      <c r="D195" s="216">
        <f>Data!G43</f>
        <v>0</v>
      </c>
      <c r="E195" s="277">
        <f>D195*(1+E196)</f>
        <v>0</v>
      </c>
      <c r="F195" s="277">
        <f>E195*(1+F196)</f>
        <v>0</v>
      </c>
      <c r="G195" s="277">
        <f>F195*(1+G196)</f>
        <v>0</v>
      </c>
      <c r="H195" s="277">
        <f>G195*(1+H196)</f>
        <v>0</v>
      </c>
      <c r="I195" s="277">
        <f>H195*(1+I196)</f>
        <v>0</v>
      </c>
      <c r="J195" s="250">
        <f>I195*$J$112</f>
        <v>0</v>
      </c>
    </row>
    <row r="196" spans="1:10" ht="12.75">
      <c r="A196" s="219" t="s">
        <v>491</v>
      </c>
      <c r="B196" s="220">
        <f>B195/B$169</f>
        <v>0</v>
      </c>
      <c r="C196" s="220">
        <f>C195/C$169</f>
        <v>0</v>
      </c>
      <c r="D196" s="220">
        <f>D195/D$169</f>
        <v>0</v>
      </c>
      <c r="E196" s="234">
        <v>0</v>
      </c>
      <c r="F196" s="234">
        <f>E196</f>
        <v>0</v>
      </c>
      <c r="G196" s="234">
        <f>F196</f>
        <v>0</v>
      </c>
      <c r="H196" s="234">
        <f>G196</f>
        <v>0</v>
      </c>
      <c r="I196" s="234">
        <f>H196</f>
        <v>0</v>
      </c>
      <c r="J196" s="256"/>
    </row>
    <row r="197" spans="1:10" ht="12.75">
      <c r="A197" s="219" t="s">
        <v>492</v>
      </c>
      <c r="B197" s="220"/>
      <c r="C197" s="220">
        <f>IF(ISERROR(C195/B195-1),"",C195/B195-1)</f>
      </c>
      <c r="D197" s="220">
        <f>IF(ISERROR(D195/C195-1),"",D195/C195-1)</f>
      </c>
      <c r="E197" s="223" t="s">
        <v>23</v>
      </c>
      <c r="F197" s="224"/>
      <c r="G197" s="224"/>
      <c r="H197" s="224"/>
      <c r="I197" s="224"/>
      <c r="J197" s="257"/>
    </row>
    <row r="198" spans="1:10" ht="12.75">
      <c r="A198" s="229" t="str">
        <f>Data!A44</f>
        <v>  Current Liabilities</v>
      </c>
      <c r="B198" s="225">
        <f>B174+B177+B180+B183+B186+B189+B192+B195</f>
        <v>15892</v>
      </c>
      <c r="C198" s="225">
        <f aca="true" t="shared" si="25" ref="C198:I198">C174+C177+C180+C183+C186+C189+C192+C195</f>
        <v>18154</v>
      </c>
      <c r="D198" s="225">
        <f t="shared" si="25"/>
        <v>17089</v>
      </c>
      <c r="E198" s="225">
        <f>E174+E177+E180+E183+E186+E189+E192+E195</f>
        <v>17605.979230462734</v>
      </c>
      <c r="F198" s="225">
        <f t="shared" si="25"/>
        <v>18347.245625125335</v>
      </c>
      <c r="G198" s="225">
        <f t="shared" si="25"/>
        <v>19143.074621599368</v>
      </c>
      <c r="H198" s="225">
        <f t="shared" si="25"/>
        <v>20341.069333052325</v>
      </c>
      <c r="I198" s="225">
        <f t="shared" si="25"/>
        <v>20837.451161166737</v>
      </c>
      <c r="J198" s="225">
        <f>J174+J177+J180+J183+J186+J189+J192+J195</f>
        <v>21462.57469600174</v>
      </c>
    </row>
    <row r="199" spans="1:10" ht="12.75">
      <c r="A199" s="219" t="s">
        <v>491</v>
      </c>
      <c r="B199" s="220">
        <f aca="true" t="shared" si="26" ref="B199:J199">B198/B$169</f>
        <v>0.23318122459759658</v>
      </c>
      <c r="C199" s="220">
        <f t="shared" si="26"/>
        <v>0.24908756620290332</v>
      </c>
      <c r="D199" s="220">
        <f t="shared" si="26"/>
        <v>0.2289584394008414</v>
      </c>
      <c r="E199" s="220">
        <f t="shared" si="26"/>
        <v>0.23204498746463645</v>
      </c>
      <c r="F199" s="220">
        <f t="shared" si="26"/>
        <v>0.23346413391875595</v>
      </c>
      <c r="G199" s="220">
        <f t="shared" si="26"/>
        <v>0.23535172910734659</v>
      </c>
      <c r="H199" s="220">
        <f t="shared" si="26"/>
        <v>0.238330514449326</v>
      </c>
      <c r="I199" s="220">
        <f t="shared" si="26"/>
        <v>0.23943164557308835</v>
      </c>
      <c r="J199" s="220">
        <f t="shared" si="26"/>
        <v>0.23943164557308835</v>
      </c>
    </row>
    <row r="200" spans="1:10" ht="12.75">
      <c r="A200" s="219" t="s">
        <v>492</v>
      </c>
      <c r="B200" s="220"/>
      <c r="C200" s="220">
        <f aca="true" t="shared" si="27" ref="C200:I200">IF(ISERROR(C198/B198-1),"",C198/B198-1)</f>
        <v>0.14233576642335777</v>
      </c>
      <c r="D200" s="220">
        <f t="shared" si="27"/>
        <v>-0.058664757078329854</v>
      </c>
      <c r="E200" s="220">
        <f t="shared" si="27"/>
        <v>0.03025216399220154</v>
      </c>
      <c r="F200" s="220">
        <f t="shared" si="27"/>
        <v>0.04210310514169113</v>
      </c>
      <c r="G200" s="220">
        <f t="shared" si="27"/>
        <v>0.04337593842337828</v>
      </c>
      <c r="H200" s="220">
        <f t="shared" si="27"/>
        <v>0.06258110231160274</v>
      </c>
      <c r="I200" s="220">
        <f t="shared" si="27"/>
        <v>0.024402936737836</v>
      </c>
      <c r="J200" s="220"/>
    </row>
    <row r="201" spans="1:10" ht="12.75">
      <c r="A201" s="211" t="str">
        <f>Data!A45</f>
        <v>Long-term debt obligations</v>
      </c>
      <c r="B201" s="216">
        <f>Data!E45</f>
        <v>19999</v>
      </c>
      <c r="C201" s="216">
        <f>Data!F45</f>
        <v>20568</v>
      </c>
      <c r="D201" s="216">
        <f>Data!G45</f>
        <v>23544</v>
      </c>
      <c r="E201" s="277">
        <f>D201*(1+E202)</f>
        <v>24169.052173383618</v>
      </c>
      <c r="F201" s="277">
        <f>E201*(1+F202)</f>
        <v>25275.234077208574</v>
      </c>
      <c r="G201" s="277">
        <f>F201*(1+G202)</f>
        <v>26412.81508712098</v>
      </c>
      <c r="H201" s="277">
        <f>G201*(1+H202)</f>
        <v>27979.105099501598</v>
      </c>
      <c r="I201" s="277">
        <f>H201*(1+I202)</f>
        <v>28809.854305237666</v>
      </c>
      <c r="J201" s="250">
        <f>I201*$J$112</f>
        <v>29674.149934394798</v>
      </c>
    </row>
    <row r="202" spans="1:10" ht="12.75">
      <c r="A202" s="219" t="s">
        <v>491</v>
      </c>
      <c r="B202" s="220">
        <f>B201/B$169</f>
        <v>0.2934426951124675</v>
      </c>
      <c r="C202" s="220">
        <f>C201/C$169</f>
        <v>0.2822095990779616</v>
      </c>
      <c r="D202" s="220">
        <f>D201/D$169</f>
        <v>0.31544253597363275</v>
      </c>
      <c r="E202" s="234">
        <f>E171+0.01</f>
        <v>0.026548257449185313</v>
      </c>
      <c r="F202" s="234">
        <f>F171+0.01</f>
        <v>0.04576852645645534</v>
      </c>
      <c r="G202" s="234">
        <f>G171+0.01</f>
        <v>0.04500773391207468</v>
      </c>
      <c r="H202" s="234">
        <f>H171+0.01</f>
        <v>0.059300381546393714</v>
      </c>
      <c r="I202" s="234">
        <f>I171+0.01</f>
        <v>0.02969177186981819</v>
      </c>
      <c r="J202" s="251"/>
    </row>
    <row r="203" spans="1:10" ht="12.75">
      <c r="A203" s="219" t="s">
        <v>492</v>
      </c>
      <c r="B203" s="220"/>
      <c r="C203" s="220">
        <f>IF(ISERROR(C201/B201-1),"",C201/B201-1)</f>
        <v>0.028451422571128537</v>
      </c>
      <c r="D203" s="220">
        <f>IF(ISERROR(D201/C201-1),"",D201/C201-1)</f>
        <v>0.14469078179696626</v>
      </c>
      <c r="E203" s="223" t="s">
        <v>786</v>
      </c>
      <c r="F203" s="224"/>
      <c r="G203" s="224"/>
      <c r="H203" s="224"/>
      <c r="I203" s="224"/>
      <c r="J203" s="252"/>
    </row>
    <row r="204" spans="1:10" ht="12.75">
      <c r="A204" s="229" t="str">
        <f>Data!A46</f>
        <v>Long-term accrued liabilities</v>
      </c>
      <c r="B204" s="216">
        <f>Data!E46</f>
        <v>6729</v>
      </c>
      <c r="C204" s="216">
        <f>Data!F46</f>
        <v>8266</v>
      </c>
      <c r="D204" s="216">
        <f>Data!G46</f>
        <v>6543</v>
      </c>
      <c r="E204" s="277">
        <f>D204*(1+E205)</f>
        <v>6813.385808474318</v>
      </c>
      <c r="F204" s="277">
        <f>E204*(1+F205)</f>
        <v>7097.703197259705</v>
      </c>
      <c r="G204" s="277">
        <f>F204*(1+G205)</f>
        <v>7396.770848144102</v>
      </c>
      <c r="H204" s="277">
        <f>G204*(1+H205)</f>
        <v>7859.762690601069</v>
      </c>
      <c r="I204" s="277">
        <f>H204*(1+I205)</f>
        <v>8042.777763886407</v>
      </c>
      <c r="J204" s="250">
        <f>I204*$J$112</f>
        <v>8284.061096803</v>
      </c>
    </row>
    <row r="205" spans="1:10" ht="12.75">
      <c r="A205" s="219" t="s">
        <v>491</v>
      </c>
      <c r="B205" s="220">
        <f>B204/B$169</f>
        <v>0.09873373145716256</v>
      </c>
      <c r="C205" s="220">
        <f>C204/C$169</f>
        <v>0.11341620701956587</v>
      </c>
      <c r="D205" s="220">
        <f>D204/D$169</f>
        <v>0.08766312066239718</v>
      </c>
      <c r="E205" s="234">
        <f>E22</f>
        <v>0.041324439626214016</v>
      </c>
      <c r="F205" s="234">
        <f>F22</f>
        <v>0.041729236649385104</v>
      </c>
      <c r="G205" s="234">
        <f>G22</f>
        <v>0.04213583501207285</v>
      </c>
      <c r="H205" s="234">
        <f>H22</f>
        <v>0.06259377936158916</v>
      </c>
      <c r="I205" s="234">
        <f>I22</f>
        <v>0.023285063492335834</v>
      </c>
      <c r="J205" s="251"/>
    </row>
    <row r="206" spans="1:10" ht="12.75">
      <c r="A206" s="219" t="s">
        <v>492</v>
      </c>
      <c r="B206" s="220"/>
      <c r="C206" s="220">
        <f>IF(ISERROR(C204/B204-1),"",C204/B204-1)</f>
        <v>0.22841432605141931</v>
      </c>
      <c r="D206" s="220">
        <f>IF(ISERROR(D204/C204-1),"",D204/C204-1)</f>
        <v>-0.2084442293733365</v>
      </c>
      <c r="E206" s="223" t="s">
        <v>434</v>
      </c>
      <c r="F206" s="224"/>
      <c r="G206" s="224"/>
      <c r="H206" s="224"/>
      <c r="I206" s="224"/>
      <c r="J206" s="252"/>
    </row>
    <row r="207" spans="1:10" ht="12.75">
      <c r="A207" s="211" t="str">
        <f>Data!A47</f>
        <v>Deferred tax liabilities—noncurrent</v>
      </c>
      <c r="B207" s="216">
        <f>Data!E47</f>
        <v>4057</v>
      </c>
      <c r="C207" s="216">
        <f>Data!F47</f>
        <v>4995</v>
      </c>
      <c r="D207" s="216">
        <f>Data!G47</f>
        <v>5063</v>
      </c>
      <c r="E207" s="277">
        <f>E169*E208</f>
        <v>5159.372761085476</v>
      </c>
      <c r="F207" s="277">
        <f>F169*F208</f>
        <v>5343.915922189077</v>
      </c>
      <c r="G207" s="277">
        <f>G169*G208</f>
        <v>5530.994308841571</v>
      </c>
      <c r="H207" s="277">
        <f>H169*H208</f>
        <v>5803.674438598393</v>
      </c>
      <c r="I207" s="277">
        <f>I169*I208</f>
        <v>5917.959071649968</v>
      </c>
      <c r="J207" s="250">
        <f>I207*$J$112</f>
        <v>6095.497843799467</v>
      </c>
    </row>
    <row r="208" spans="1:10" ht="12.75">
      <c r="A208" s="219" t="s">
        <v>491</v>
      </c>
      <c r="B208" s="220">
        <f>B207/B$169</f>
        <v>0.05952782709491879</v>
      </c>
      <c r="C208" s="220">
        <f>C207/C$169</f>
        <v>0.0685354408495925</v>
      </c>
      <c r="D208" s="220">
        <f>D207/D$169</f>
        <v>0.06783407915539001</v>
      </c>
      <c r="E208" s="234">
        <v>0.068</v>
      </c>
      <c r="F208" s="234">
        <v>0.068</v>
      </c>
      <c r="G208" s="234">
        <v>0.068</v>
      </c>
      <c r="H208" s="234">
        <v>0.068</v>
      </c>
      <c r="I208" s="234">
        <v>0.068</v>
      </c>
      <c r="J208" s="251"/>
    </row>
    <row r="209" spans="1:10" ht="12.75">
      <c r="A209" s="219" t="s">
        <v>492</v>
      </c>
      <c r="B209" s="220"/>
      <c r="C209" s="220">
        <f>IF(ISERROR(C207/B207-1),"",C207/B207-1)</f>
        <v>0.23120532413113137</v>
      </c>
      <c r="D209" s="220">
        <f>IF(ISERROR(D207/C207-1),"",D207/C207-1)</f>
        <v>0.013613613613613573</v>
      </c>
      <c r="E209" s="223" t="s">
        <v>782</v>
      </c>
      <c r="F209" s="224"/>
      <c r="G209" s="224"/>
      <c r="H209" s="224"/>
      <c r="I209" s="224"/>
      <c r="J209" s="252"/>
    </row>
    <row r="210" spans="1:10" ht="12.75">
      <c r="A210" s="211" t="str">
        <f>Data!A48</f>
        <v>Other noncurrent liabilities (1)</v>
      </c>
      <c r="B210" s="216">
        <f>Data!E48</f>
        <v>0</v>
      </c>
      <c r="C210" s="216">
        <f>Data!F48</f>
        <v>0</v>
      </c>
      <c r="D210" s="216">
        <f>Data!G48</f>
        <v>0</v>
      </c>
      <c r="E210" s="277">
        <f>D210*(1+E211)</f>
        <v>0</v>
      </c>
      <c r="F210" s="277">
        <f>E210*(1+F211)</f>
        <v>0</v>
      </c>
      <c r="G210" s="277">
        <f>F210*(1+G211)</f>
        <v>0</v>
      </c>
      <c r="H210" s="277">
        <f>G210*(1+H211)</f>
        <v>0</v>
      </c>
      <c r="I210" s="277">
        <f>H210*(1+I211)</f>
        <v>0</v>
      </c>
      <c r="J210" s="250">
        <f>I210*$J$112</f>
        <v>0</v>
      </c>
    </row>
    <row r="211" spans="1:10" ht="12.75">
      <c r="A211" s="219" t="s">
        <v>491</v>
      </c>
      <c r="B211" s="220">
        <f>B210/B$169</f>
        <v>0</v>
      </c>
      <c r="C211" s="220">
        <f>C210/C$169</f>
        <v>0</v>
      </c>
      <c r="D211" s="220">
        <f>D210/D$169</f>
        <v>0</v>
      </c>
      <c r="E211" s="234">
        <v>0</v>
      </c>
      <c r="F211" s="234">
        <f>E211</f>
        <v>0</v>
      </c>
      <c r="G211" s="234">
        <f>F211</f>
        <v>0</v>
      </c>
      <c r="H211" s="234">
        <f>G211</f>
        <v>0</v>
      </c>
      <c r="I211" s="234">
        <f>H211</f>
        <v>0</v>
      </c>
      <c r="J211" s="262"/>
    </row>
    <row r="212" spans="1:10" ht="12.75">
      <c r="A212" s="219" t="s">
        <v>492</v>
      </c>
      <c r="B212" s="220"/>
      <c r="C212" s="220">
        <f>IF(ISERROR(C210/B210-1),"",C210/B210-1)</f>
      </c>
      <c r="D212" s="220">
        <f>IF(ISERROR(D210/C210-1),"",D210/C210-1)</f>
      </c>
      <c r="E212" s="223" t="s">
        <v>23</v>
      </c>
      <c r="F212" s="224"/>
      <c r="G212" s="224"/>
      <c r="H212" s="224"/>
      <c r="I212" s="224"/>
      <c r="J212" s="235"/>
    </row>
    <row r="213" spans="1:10" ht="12.75">
      <c r="A213" s="211" t="str">
        <f>Data!A49</f>
        <v>Other noncurrent liabilities (2)</v>
      </c>
      <c r="B213" s="216">
        <f>Data!E49</f>
        <v>0</v>
      </c>
      <c r="C213" s="216">
        <f>Data!F49</f>
        <v>0</v>
      </c>
      <c r="D213" s="216">
        <f>Data!G49</f>
        <v>0</v>
      </c>
      <c r="E213" s="277">
        <f>D213*(1+E214)</f>
        <v>0</v>
      </c>
      <c r="F213" s="277">
        <f>E213*(1+F214)</f>
        <v>0</v>
      </c>
      <c r="G213" s="277">
        <f>F213*(1+G214)</f>
        <v>0</v>
      </c>
      <c r="H213" s="277">
        <f>G213*(1+H214)</f>
        <v>0</v>
      </c>
      <c r="I213" s="277">
        <f>H213*(1+I214)</f>
        <v>0</v>
      </c>
      <c r="J213" s="250">
        <f>I213*$J$112</f>
        <v>0</v>
      </c>
    </row>
    <row r="214" spans="1:10" ht="12.75">
      <c r="A214" s="219" t="s">
        <v>491</v>
      </c>
      <c r="B214" s="220">
        <f>B213/B$169</f>
        <v>0</v>
      </c>
      <c r="C214" s="220">
        <f>C213/C$169</f>
        <v>0</v>
      </c>
      <c r="D214" s="220">
        <f>D213/D$169</f>
        <v>0</v>
      </c>
      <c r="E214" s="234">
        <v>0</v>
      </c>
      <c r="F214" s="234">
        <f>E214</f>
        <v>0</v>
      </c>
      <c r="G214" s="234">
        <f>F214</f>
        <v>0</v>
      </c>
      <c r="H214" s="234">
        <f>G214</f>
        <v>0</v>
      </c>
      <c r="I214" s="234">
        <f>H214</f>
        <v>0</v>
      </c>
      <c r="J214" s="263"/>
    </row>
    <row r="215" spans="1:10" ht="12.75">
      <c r="A215" s="219" t="s">
        <v>492</v>
      </c>
      <c r="B215" s="220"/>
      <c r="C215" s="220">
        <f>IF(ISERROR(C213/B213-1),"",C213/B213-1)</f>
      </c>
      <c r="D215" s="220">
        <f>IF(ISERROR(D213/C213-1),"",D213/C213-1)</f>
      </c>
      <c r="E215" s="223" t="s">
        <v>23</v>
      </c>
      <c r="F215" s="224"/>
      <c r="G215" s="224"/>
      <c r="H215" s="224"/>
      <c r="I215" s="224"/>
      <c r="J215" s="257"/>
    </row>
    <row r="216" spans="1:10" ht="12.75">
      <c r="A216" s="229" t="str">
        <f>Data!A50</f>
        <v>  Total Liabilities</v>
      </c>
      <c r="B216" s="225">
        <f>B198+B201+B204+B207+B210+B213</f>
        <v>46677</v>
      </c>
      <c r="C216" s="225">
        <f aca="true" t="shared" si="28" ref="C216:I216">C198+C201+C204+C207+C210+C213</f>
        <v>51983</v>
      </c>
      <c r="D216" s="225">
        <f t="shared" si="28"/>
        <v>52239</v>
      </c>
      <c r="E216" s="225">
        <f>E198+E201+E204+E207+E210+E213</f>
        <v>53747.78997340615</v>
      </c>
      <c r="F216" s="225">
        <f t="shared" si="28"/>
        <v>56064.09882178268</v>
      </c>
      <c r="G216" s="225">
        <f t="shared" si="28"/>
        <v>58483.65486570602</v>
      </c>
      <c r="H216" s="225">
        <f t="shared" si="28"/>
        <v>61983.61156175338</v>
      </c>
      <c r="I216" s="225">
        <f t="shared" si="28"/>
        <v>63608.042301940775</v>
      </c>
      <c r="J216" s="225">
        <f>J198+J201+J204+J207+J210+J213</f>
        <v>65516.283570999</v>
      </c>
    </row>
    <row r="217" spans="1:10" ht="12.75">
      <c r="A217" s="219" t="s">
        <v>491</v>
      </c>
      <c r="B217" s="220">
        <f aca="true" t="shared" si="29" ref="B217:J217">B216/B$169</f>
        <v>0.6848854782621455</v>
      </c>
      <c r="C217" s="220">
        <f t="shared" si="29"/>
        <v>0.7132488131500233</v>
      </c>
      <c r="D217" s="220">
        <f t="shared" si="29"/>
        <v>0.6998981751922613</v>
      </c>
      <c r="E217" s="220">
        <f t="shared" si="29"/>
        <v>0.7083903194121368</v>
      </c>
      <c r="F217" s="220">
        <f t="shared" si="29"/>
        <v>0.7134017030566475</v>
      </c>
      <c r="G217" s="220">
        <f t="shared" si="29"/>
        <v>0.7190187349335642</v>
      </c>
      <c r="H217" s="220">
        <f t="shared" si="29"/>
        <v>0.726244318283494</v>
      </c>
      <c r="I217" s="220">
        <f t="shared" si="29"/>
        <v>0.7308848919304939</v>
      </c>
      <c r="J217" s="220">
        <f t="shared" si="29"/>
        <v>0.7308848919304939</v>
      </c>
    </row>
    <row r="218" spans="1:10" ht="12.75">
      <c r="A218" s="219" t="s">
        <v>492</v>
      </c>
      <c r="B218" s="220"/>
      <c r="C218" s="220">
        <f aca="true" t="shared" si="30" ref="C218:J218">IF(ISERROR(C216/B216-1),"",C216/B216-1)</f>
        <v>0.11367482914497495</v>
      </c>
      <c r="D218" s="220">
        <f t="shared" si="30"/>
        <v>0.004924686916876642</v>
      </c>
      <c r="E218" s="220">
        <f t="shared" si="30"/>
        <v>0.028882443641841338</v>
      </c>
      <c r="F218" s="220">
        <f t="shared" si="30"/>
        <v>0.043095890073296284</v>
      </c>
      <c r="G218" s="220">
        <f t="shared" si="30"/>
        <v>0.04315695952974563</v>
      </c>
      <c r="H218" s="220">
        <f t="shared" si="30"/>
        <v>0.05984504053455941</v>
      </c>
      <c r="I218" s="220">
        <f t="shared" si="30"/>
        <v>0.026207423208455705</v>
      </c>
      <c r="J218" s="220">
        <f t="shared" si="30"/>
        <v>0.030000000000000027</v>
      </c>
    </row>
    <row r="219" spans="1:10" ht="12.75">
      <c r="A219" s="219"/>
      <c r="B219" s="220"/>
      <c r="C219" s="220"/>
      <c r="D219" s="220"/>
      <c r="E219" s="227"/>
      <c r="F219" s="227"/>
      <c r="G219" s="227"/>
      <c r="H219" s="227"/>
      <c r="I219" s="227"/>
      <c r="J219" s="227"/>
    </row>
    <row r="220" spans="1:10" ht="12.75">
      <c r="A220" s="211" t="s">
        <v>265</v>
      </c>
      <c r="B220" s="249"/>
      <c r="C220" s="249"/>
      <c r="D220" s="249"/>
      <c r="E220" s="264"/>
      <c r="F220" s="264"/>
      <c r="G220" s="264"/>
      <c r="H220" s="264"/>
      <c r="I220" s="264"/>
      <c r="J220" s="259"/>
    </row>
    <row r="221" spans="1:10" ht="12.75">
      <c r="A221" s="211" t="str">
        <f>Data!A52</f>
        <v>Preferred stock</v>
      </c>
      <c r="B221" s="216">
        <f>Data!E52</f>
        <v>-109</v>
      </c>
      <c r="C221" s="216">
        <f>Data!F52</f>
        <v>-116</v>
      </c>
      <c r="D221" s="216">
        <f>Data!G52</f>
        <v>-123</v>
      </c>
      <c r="E221" s="277">
        <f>E222</f>
        <v>0</v>
      </c>
      <c r="F221" s="277">
        <f>E221+F222</f>
        <v>0</v>
      </c>
      <c r="G221" s="277">
        <f>F221+G222</f>
        <v>0</v>
      </c>
      <c r="H221" s="277">
        <f>G221+H222</f>
        <v>0</v>
      </c>
      <c r="I221" s="277">
        <f>H221+I222</f>
        <v>0</v>
      </c>
      <c r="J221" s="250">
        <f>I221*$J$112</f>
        <v>0</v>
      </c>
    </row>
    <row r="222" spans="1:10" ht="12.75">
      <c r="A222" s="219" t="s">
        <v>491</v>
      </c>
      <c r="B222" s="220">
        <f>B221/B$169</f>
        <v>-0.001599342655495723</v>
      </c>
      <c r="C222" s="220">
        <f>C221/C$169</f>
        <v>-0.001591613841552098</v>
      </c>
      <c r="D222" s="220">
        <f>D221/D$169</f>
        <v>-0.0016479541252445134</v>
      </c>
      <c r="E222" s="231">
        <v>0</v>
      </c>
      <c r="F222" s="231">
        <v>0</v>
      </c>
      <c r="G222" s="231">
        <f>F222</f>
        <v>0</v>
      </c>
      <c r="H222" s="231">
        <f>G222</f>
        <v>0</v>
      </c>
      <c r="I222" s="231">
        <f>H222</f>
        <v>0</v>
      </c>
      <c r="J222" s="262"/>
    </row>
    <row r="223" spans="1:10" ht="12.75">
      <c r="A223" s="219" t="s">
        <v>492</v>
      </c>
      <c r="B223" s="220"/>
      <c r="C223" s="220">
        <f>IF(ISERROR(C221/B221-1),"",C221/B221-1)</f>
        <v>0.06422018348623859</v>
      </c>
      <c r="D223" s="220">
        <f>IF(ISERROR(D221/C221-1),"",D221/C221-1)</f>
        <v>0.06034482758620685</v>
      </c>
      <c r="E223" s="223" t="s">
        <v>746</v>
      </c>
      <c r="F223" s="224"/>
      <c r="G223" s="224"/>
      <c r="H223" s="224"/>
      <c r="I223" s="224"/>
      <c r="J223" s="252"/>
    </row>
    <row r="224" spans="1:10" ht="12.75">
      <c r="A224" s="219"/>
      <c r="B224" s="220"/>
      <c r="C224" s="220"/>
      <c r="D224" s="220"/>
      <c r="E224" s="223"/>
      <c r="F224" s="224"/>
      <c r="G224" s="224"/>
      <c r="H224" s="224"/>
      <c r="I224" s="224"/>
      <c r="J224" s="252"/>
    </row>
    <row r="225" spans="1:10" ht="12.75">
      <c r="A225" s="211" t="str">
        <f>Data!A53</f>
        <v>Common stock + Additional paid in capital</v>
      </c>
      <c r="B225" s="216">
        <f>Data!E53</f>
        <v>4558</v>
      </c>
      <c r="C225" s="216">
        <f>Data!F53</f>
        <v>4487</v>
      </c>
      <c r="D225" s="216">
        <f>Data!G53</f>
        <v>4204</v>
      </c>
      <c r="E225" s="277">
        <f>E226*E169</f>
        <v>4248.895215011568</v>
      </c>
      <c r="F225" s="277">
        <f>F226*F169</f>
        <v>4400.871935920416</v>
      </c>
      <c r="G225" s="277">
        <f>G226*G169</f>
        <v>4554.936489634235</v>
      </c>
      <c r="H225" s="277">
        <f>H226*H169</f>
        <v>4779.496596492794</v>
      </c>
      <c r="I225" s="277">
        <f>I226*I169</f>
        <v>4873.613353123503</v>
      </c>
      <c r="J225" s="250">
        <f>I225*$J$112</f>
        <v>5019.821753717208</v>
      </c>
    </row>
    <row r="226" spans="1:10" ht="12.75">
      <c r="A226" s="219" t="s">
        <v>491</v>
      </c>
      <c r="B226" s="220">
        <f>B225/B$169</f>
        <v>0.06687893416283949</v>
      </c>
      <c r="C226" s="220">
        <f>C225/C$169</f>
        <v>0.06156526988831262</v>
      </c>
      <c r="D226" s="220">
        <f>D225/D$169</f>
        <v>0.05632519628071492</v>
      </c>
      <c r="E226" s="234">
        <v>0.056</v>
      </c>
      <c r="F226" s="234">
        <f>E226</f>
        <v>0.056</v>
      </c>
      <c r="G226" s="234">
        <f>F226</f>
        <v>0.056</v>
      </c>
      <c r="H226" s="234">
        <f>G226</f>
        <v>0.056</v>
      </c>
      <c r="I226" s="234">
        <f>H226</f>
        <v>0.056</v>
      </c>
      <c r="J226" s="262"/>
    </row>
    <row r="227" spans="1:10" ht="12.75">
      <c r="A227" s="219" t="s">
        <v>492</v>
      </c>
      <c r="B227" s="220"/>
      <c r="C227" s="220">
        <f>IF(ISERROR(C225/B225-1),"",C225/B225-1)</f>
        <v>-0.01557700745941204</v>
      </c>
      <c r="D227" s="220">
        <f>IF(ISERROR(D225/C225-1),"",D225/C225-1)</f>
        <v>-0.06307109427234237</v>
      </c>
      <c r="E227" s="223" t="s">
        <v>176</v>
      </c>
      <c r="F227" s="224"/>
      <c r="G227" s="224"/>
      <c r="H227" s="224"/>
      <c r="I227" s="224"/>
      <c r="J227" s="252"/>
    </row>
    <row r="228" spans="1:10" ht="12.75">
      <c r="A228" s="211" t="str">
        <f>Data!A54</f>
        <v>Retained earnings &lt;deficit&gt;</v>
      </c>
      <c r="B228" s="216">
        <f>Data!E54</f>
        <v>37090</v>
      </c>
      <c r="C228" s="216">
        <f>Data!F54</f>
        <v>40316</v>
      </c>
      <c r="D228" s="216">
        <f>Data!G54</f>
        <v>43158</v>
      </c>
      <c r="E228" s="277">
        <f>D228+E93-E261</f>
        <v>45865.9862171451</v>
      </c>
      <c r="F228" s="277">
        <f>E228+F93-F261</f>
        <v>48735.459624066796</v>
      </c>
      <c r="G228" s="277">
        <f>F228+G93-G261</f>
        <v>51704.7066749911</v>
      </c>
      <c r="H228" s="277">
        <f>G228+H93-H261</f>
        <v>54842.18556227221</v>
      </c>
      <c r="I228" s="277">
        <f>H228+I93-I261</f>
        <v>58021.06970287967</v>
      </c>
      <c r="J228" s="250">
        <f>I228*$J$112</f>
        <v>59761.701793966065</v>
      </c>
    </row>
    <row r="229" spans="1:10" ht="12.75">
      <c r="A229" s="219" t="s">
        <v>491</v>
      </c>
      <c r="B229" s="220">
        <f>B228/B$169</f>
        <v>0.5442166889205171</v>
      </c>
      <c r="C229" s="220">
        <f>C228/C$169</f>
        <v>0.5531681347932275</v>
      </c>
      <c r="D229" s="220">
        <f>D228/D$169</f>
        <v>0.5782309279455505</v>
      </c>
      <c r="E229" s="234"/>
      <c r="F229" s="234"/>
      <c r="G229" s="234"/>
      <c r="H229" s="234"/>
      <c r="I229" s="234"/>
      <c r="J229" s="265"/>
    </row>
    <row r="230" spans="1:13" ht="12.75">
      <c r="A230" s="219" t="s">
        <v>492</v>
      </c>
      <c r="B230" s="220"/>
      <c r="C230" s="220">
        <f>IF(ISERROR(C228/B228-1),"",C228/B228-1)</f>
        <v>0.08697762200053916</v>
      </c>
      <c r="D230" s="220">
        <f>IF(ISERROR(D228/C228-1),"",D228/C228-1)</f>
        <v>0.07049310447465018</v>
      </c>
      <c r="E230" s="223" t="s">
        <v>38</v>
      </c>
      <c r="F230" s="224"/>
      <c r="G230" s="224"/>
      <c r="H230" s="224"/>
      <c r="I230" s="224"/>
      <c r="J230" s="266"/>
      <c r="M230" s="607"/>
    </row>
    <row r="231" spans="1:13" ht="12.75">
      <c r="A231" s="211" t="str">
        <f>Data!A55</f>
        <v>Accum. other comprehensive income &lt;loss&gt;</v>
      </c>
      <c r="B231" s="216">
        <f>Data!E55</f>
        <v>-3630</v>
      </c>
      <c r="C231" s="216">
        <f>Data!F55</f>
        <v>-6229</v>
      </c>
      <c r="D231" s="216">
        <f>Data!G55</f>
        <v>-5487</v>
      </c>
      <c r="E231" s="277">
        <f>D231</f>
        <v>-5487</v>
      </c>
      <c r="F231" s="277">
        <f>E231</f>
        <v>-5487</v>
      </c>
      <c r="G231" s="277">
        <f>F231</f>
        <v>-5487</v>
      </c>
      <c r="H231" s="277">
        <f>G231</f>
        <v>-5487</v>
      </c>
      <c r="I231" s="277">
        <f>H231</f>
        <v>-5487</v>
      </c>
      <c r="J231" s="250">
        <f>I231+J97</f>
        <v>-5487</v>
      </c>
      <c r="M231" s="253"/>
    </row>
    <row r="232" spans="1:13" ht="12.75">
      <c r="A232" s="219" t="s">
        <v>491</v>
      </c>
      <c r="B232" s="220">
        <f>B231/B$169</f>
        <v>-0.05326251228852728</v>
      </c>
      <c r="C232" s="220">
        <f>C231/C$169</f>
        <v>-0.08546691912955187</v>
      </c>
      <c r="D232" s="220">
        <f>D231/D$169</f>
        <v>-0.0735148315871272</v>
      </c>
      <c r="E232" s="231">
        <v>0</v>
      </c>
      <c r="F232" s="231">
        <f>E232</f>
        <v>0</v>
      </c>
      <c r="G232" s="231">
        <f>F232</f>
        <v>0</v>
      </c>
      <c r="H232" s="231">
        <f>G232</f>
        <v>0</v>
      </c>
      <c r="I232" s="231">
        <f>H232</f>
        <v>0</v>
      </c>
      <c r="J232" s="251"/>
      <c r="M232" s="607"/>
    </row>
    <row r="233" spans="1:13" ht="12.75">
      <c r="A233" s="219" t="s">
        <v>492</v>
      </c>
      <c r="B233" s="220"/>
      <c r="C233" s="220">
        <f>IF(ISERROR(C231/B231-1),"",C231/B231-1)</f>
        <v>0.7159779614325068</v>
      </c>
      <c r="D233" s="220">
        <f>IF(ISERROR(D231/C231-1),"",D231/C231-1)</f>
        <v>-0.11912024401990684</v>
      </c>
      <c r="E233" s="223" t="s">
        <v>177</v>
      </c>
      <c r="F233" s="224"/>
      <c r="G233" s="224"/>
      <c r="H233" s="224"/>
      <c r="I233" s="224"/>
      <c r="J233" s="235"/>
      <c r="M233" s="607"/>
    </row>
    <row r="234" spans="1:10" ht="12.75">
      <c r="A234" s="211" t="str">
        <f>Data!A56</f>
        <v>&lt;Treasury stock&gt; and other equity adjustments</v>
      </c>
      <c r="B234" s="216">
        <f>Data!E56</f>
        <v>-16745</v>
      </c>
      <c r="C234" s="216">
        <f>Data!F56</f>
        <v>-17870</v>
      </c>
      <c r="D234" s="216">
        <f>Data!G56</f>
        <v>-19458</v>
      </c>
      <c r="E234" s="526">
        <f>D234+E235</f>
        <v>-22607.542566070537</v>
      </c>
      <c r="F234" s="526">
        <f>E234+F235</f>
        <v>-25231.43152604818</v>
      </c>
      <c r="G234" s="526">
        <f>F234+G235</f>
        <v>-28023.14642972003</v>
      </c>
      <c r="H234" s="526">
        <f>G234+H235</f>
        <v>-30875.14021171849</v>
      </c>
      <c r="I234" s="526">
        <f>H234+I235</f>
        <v>-34091.91548073852</v>
      </c>
      <c r="J234" s="250">
        <f>I234+J271</f>
        <v>-35279.282945160696</v>
      </c>
    </row>
    <row r="235" spans="1:13" ht="12.75">
      <c r="A235" s="219" t="s">
        <v>491</v>
      </c>
      <c r="B235" s="220">
        <f>B234/B$169</f>
        <v>-0.24569718134198054</v>
      </c>
      <c r="C235" s="220">
        <f>C234/C$169</f>
        <v>-0.24519085645289646</v>
      </c>
      <c r="D235" s="220">
        <f>D234/D$169</f>
        <v>-0.2606983038130711</v>
      </c>
      <c r="E235" s="595">
        <f>E271</f>
        <v>-3149.542566070537</v>
      </c>
      <c r="F235" s="595">
        <f>F271</f>
        <v>-2623.888959977645</v>
      </c>
      <c r="G235" s="595">
        <f>G271</f>
        <v>-2791.7149036718474</v>
      </c>
      <c r="H235" s="595">
        <f>H271</f>
        <v>-2851.9937819984625</v>
      </c>
      <c r="I235" s="595">
        <f>I271</f>
        <v>-3216.7752690200286</v>
      </c>
      <c r="J235" s="256"/>
      <c r="M235" s="607"/>
    </row>
    <row r="236" spans="1:10" ht="12.75">
      <c r="A236" s="219" t="s">
        <v>492</v>
      </c>
      <c r="B236" s="220"/>
      <c r="C236" s="220">
        <f>IF(ISERROR(C234/B234-1),"",C234/B234-1)</f>
        <v>0.06718423409973129</v>
      </c>
      <c r="D236" s="220">
        <f>IF(ISERROR(D234/C234-1),"",D234/C234-1)</f>
        <v>0.08886401790710696</v>
      </c>
      <c r="E236" s="223" t="s">
        <v>164</v>
      </c>
      <c r="F236" s="224"/>
      <c r="G236" s="224"/>
      <c r="H236" s="224"/>
      <c r="I236" s="224"/>
      <c r="J236" s="257"/>
    </row>
    <row r="237" spans="1:10" ht="12.75">
      <c r="A237" s="229" t="str">
        <f>Data!A57</f>
        <v> Total Common Shareholders' Equity</v>
      </c>
      <c r="B237" s="225">
        <f>B225+B228+B231+B234</f>
        <v>21273</v>
      </c>
      <c r="C237" s="225">
        <f aca="true" t="shared" si="31" ref="C237:I237">C225+C228+C231+C234</f>
        <v>20704</v>
      </c>
      <c r="D237" s="225">
        <f t="shared" si="31"/>
        <v>22417</v>
      </c>
      <c r="E237" s="225">
        <f t="shared" si="31"/>
        <v>22020.33886608613</v>
      </c>
      <c r="F237" s="225">
        <f t="shared" si="31"/>
        <v>22417.900033939033</v>
      </c>
      <c r="G237" s="225">
        <f t="shared" si="31"/>
        <v>22749.49673490531</v>
      </c>
      <c r="H237" s="225">
        <f t="shared" si="31"/>
        <v>23259.541947046513</v>
      </c>
      <c r="I237" s="225">
        <f t="shared" si="31"/>
        <v>23315.767575264654</v>
      </c>
      <c r="J237" s="225">
        <f>J225+J228+J231+J234</f>
        <v>24015.24060252258</v>
      </c>
    </row>
    <row r="238" spans="1:10" s="587" customFormat="1" ht="11.25">
      <c r="A238" s="219" t="s">
        <v>491</v>
      </c>
      <c r="B238" s="585">
        <f>B237/B$169</f>
        <v>0.31213592945284874</v>
      </c>
      <c r="C238" s="585">
        <f aca="true" t="shared" si="32" ref="C238:I238">C237/C$169</f>
        <v>0.2840756290990917</v>
      </c>
      <c r="D238" s="585">
        <f t="shared" si="32"/>
        <v>0.30034298882606714</v>
      </c>
      <c r="E238" s="585">
        <f t="shared" si="32"/>
        <v>0.29022579143493094</v>
      </c>
      <c r="F238" s="585">
        <f t="shared" si="32"/>
        <v>0.2852621980780329</v>
      </c>
      <c r="G238" s="585">
        <f t="shared" si="32"/>
        <v>0.2796903579344963</v>
      </c>
      <c r="H238" s="585">
        <f t="shared" si="32"/>
        <v>0.2725254266297433</v>
      </c>
      <c r="I238" s="585">
        <f t="shared" si="32"/>
        <v>0.26790861104687497</v>
      </c>
      <c r="J238" s="585"/>
    </row>
    <row r="239" spans="1:10" s="587" customFormat="1" ht="11.25">
      <c r="A239" s="219" t="s">
        <v>492</v>
      </c>
      <c r="B239" s="585"/>
      <c r="C239" s="585">
        <f aca="true" t="shared" si="33" ref="C239:J239">IF(ISERROR(C237/B237-1),"",C237/B237-1)</f>
        <v>-0.02674752033093597</v>
      </c>
      <c r="D239" s="585">
        <f t="shared" si="33"/>
        <v>0.08273763523956723</v>
      </c>
      <c r="E239" s="585">
        <f t="shared" si="33"/>
        <v>-0.01769465735441267</v>
      </c>
      <c r="F239" s="585">
        <f t="shared" si="33"/>
        <v>0.018054271111385578</v>
      </c>
      <c r="G239" s="585">
        <f t="shared" si="33"/>
        <v>0.014791604051417107</v>
      </c>
      <c r="H239" s="585">
        <f t="shared" si="33"/>
        <v>0.022420065730888172</v>
      </c>
      <c r="I239" s="585">
        <f t="shared" si="33"/>
        <v>0.002417314508864621</v>
      </c>
      <c r="J239" s="585">
        <f t="shared" si="33"/>
        <v>0.02999999999999936</v>
      </c>
    </row>
    <row r="240" spans="1:13" ht="12.75">
      <c r="A240" s="229" t="str">
        <f>Data!A58</f>
        <v>Noncontrolling interests</v>
      </c>
      <c r="B240" s="229">
        <f>Data!E58</f>
        <v>312</v>
      </c>
      <c r="C240" s="229">
        <f>Data!F58</f>
        <v>311</v>
      </c>
      <c r="D240" s="229">
        <f>Data!G58</f>
        <v>105</v>
      </c>
      <c r="E240" s="526">
        <f>D240</f>
        <v>105</v>
      </c>
      <c r="F240" s="526">
        <f>E240</f>
        <v>105</v>
      </c>
      <c r="G240" s="526">
        <f>F240</f>
        <v>105</v>
      </c>
      <c r="H240" s="526">
        <f>G240</f>
        <v>105</v>
      </c>
      <c r="I240" s="526">
        <f>H240</f>
        <v>105</v>
      </c>
      <c r="J240" s="627">
        <f>I240*$J$112</f>
        <v>108.15</v>
      </c>
      <c r="L240" s="626"/>
      <c r="M240" s="566"/>
    </row>
    <row r="241" spans="1:10" ht="12.75">
      <c r="A241" s="219" t="s">
        <v>491</v>
      </c>
      <c r="B241" s="585">
        <f>B240/B$169</f>
        <v>0.004577934940501518</v>
      </c>
      <c r="C241" s="585">
        <f>C240/C$169</f>
        <v>0.00426717159243709</v>
      </c>
      <c r="D241" s="585">
        <f>D240/D$169</f>
        <v>0.001406790106916048</v>
      </c>
      <c r="E241" s="583">
        <v>0</v>
      </c>
      <c r="F241" s="583">
        <v>0</v>
      </c>
      <c r="G241" s="583">
        <v>0</v>
      </c>
      <c r="H241" s="583">
        <v>0</v>
      </c>
      <c r="I241" s="583">
        <v>0</v>
      </c>
      <c r="J241" s="256"/>
    </row>
    <row r="242" spans="1:10" ht="12.75">
      <c r="A242" s="219" t="s">
        <v>492</v>
      </c>
      <c r="B242" s="585"/>
      <c r="C242" s="220">
        <f>IF(ISERROR(C240/B240-1),"",C240/B240-1)</f>
        <v>-0.0032051282051281937</v>
      </c>
      <c r="D242" s="220">
        <f>IF(ISERROR(D240/C240-1),"",D240/C240-1)</f>
        <v>-0.662379421221865</v>
      </c>
      <c r="E242" s="223" t="s">
        <v>790</v>
      </c>
      <c r="F242" s="224"/>
      <c r="G242" s="224"/>
      <c r="H242" s="224"/>
      <c r="I242" s="224"/>
      <c r="J242" s="257"/>
    </row>
    <row r="243" spans="1:10" ht="12.75">
      <c r="A243" s="229" t="str">
        <f>Data!A59</f>
        <v>  Total Equity</v>
      </c>
      <c r="B243" s="584">
        <f>B237+B240</f>
        <v>21585</v>
      </c>
      <c r="C243" s="584">
        <f aca="true" t="shared" si="34" ref="C243:J243">C237+C240</f>
        <v>21015</v>
      </c>
      <c r="D243" s="584">
        <f t="shared" si="34"/>
        <v>22522</v>
      </c>
      <c r="E243" s="584">
        <f t="shared" si="34"/>
        <v>22125.33886608613</v>
      </c>
      <c r="F243" s="584">
        <f t="shared" si="34"/>
        <v>22522.900033939033</v>
      </c>
      <c r="G243" s="584">
        <f t="shared" si="34"/>
        <v>22854.49673490531</v>
      </c>
      <c r="H243" s="584">
        <f t="shared" si="34"/>
        <v>23364.541947046513</v>
      </c>
      <c r="I243" s="584">
        <f t="shared" si="34"/>
        <v>23420.767575264654</v>
      </c>
      <c r="J243" s="584">
        <f t="shared" si="34"/>
        <v>24123.39060252258</v>
      </c>
    </row>
    <row r="244" spans="1:10" s="587" customFormat="1" ht="11.25">
      <c r="A244" s="219" t="s">
        <v>491</v>
      </c>
      <c r="B244" s="585">
        <f aca="true" t="shared" si="35" ref="B244:I244">B243/B$169</f>
        <v>0.31671386439335025</v>
      </c>
      <c r="C244" s="585">
        <f t="shared" si="35"/>
        <v>0.2883428006915288</v>
      </c>
      <c r="D244" s="585">
        <f t="shared" si="35"/>
        <v>0.3017497789329832</v>
      </c>
      <c r="E244" s="585">
        <f t="shared" si="35"/>
        <v>0.29160968058786313</v>
      </c>
      <c r="F244" s="585">
        <f t="shared" si="35"/>
        <v>0.2865982969433525</v>
      </c>
      <c r="G244" s="585">
        <f t="shared" si="35"/>
        <v>0.2809812650664358</v>
      </c>
      <c r="H244" s="585">
        <f t="shared" si="35"/>
        <v>0.27375568171650594</v>
      </c>
      <c r="I244" s="585">
        <f t="shared" si="35"/>
        <v>0.26911510806950634</v>
      </c>
      <c r="J244" s="585"/>
    </row>
    <row r="245" spans="1:10" s="587" customFormat="1" ht="11.25">
      <c r="A245" s="219" t="s">
        <v>492</v>
      </c>
      <c r="B245" s="585"/>
      <c r="C245" s="585">
        <f aca="true" t="shared" si="36" ref="C245:I245">IF(ISERROR(C243/B243-1),"",C243/B243-1)</f>
        <v>-0.02640722724113964</v>
      </c>
      <c r="D245" s="585">
        <f t="shared" si="36"/>
        <v>0.07171068284558646</v>
      </c>
      <c r="E245" s="585">
        <f t="shared" si="36"/>
        <v>-0.0176121629479562</v>
      </c>
      <c r="F245" s="585">
        <f t="shared" si="36"/>
        <v>0.0179685911370282</v>
      </c>
      <c r="G245" s="585">
        <f t="shared" si="36"/>
        <v>0.014722646749157686</v>
      </c>
      <c r="H245" s="585">
        <f t="shared" si="36"/>
        <v>0.022317061629373747</v>
      </c>
      <c r="I245" s="585">
        <f t="shared" si="36"/>
        <v>0.0024064511234831443</v>
      </c>
      <c r="J245" s="585"/>
    </row>
    <row r="246" spans="1:10" ht="13.5" thickBot="1">
      <c r="A246" s="229" t="str">
        <f>Data!A60</f>
        <v>  Total Liabilities and Equities</v>
      </c>
      <c r="B246" s="268">
        <f>B216+B221+B243</f>
        <v>68153</v>
      </c>
      <c r="C246" s="268">
        <f aca="true" t="shared" si="37" ref="C246:J246">C216+C221+C243</f>
        <v>72882</v>
      </c>
      <c r="D246" s="268">
        <f t="shared" si="37"/>
        <v>74638</v>
      </c>
      <c r="E246" s="268">
        <f>E216+E221+E243</f>
        <v>75873.12883949227</v>
      </c>
      <c r="F246" s="268">
        <f t="shared" si="37"/>
        <v>78586.99885572171</v>
      </c>
      <c r="G246" s="268">
        <f t="shared" si="37"/>
        <v>81338.15160061134</v>
      </c>
      <c r="H246" s="268">
        <f t="shared" si="37"/>
        <v>85348.1535087999</v>
      </c>
      <c r="I246" s="268">
        <f t="shared" si="37"/>
        <v>87028.80987720544</v>
      </c>
      <c r="J246" s="268">
        <f t="shared" si="37"/>
        <v>89639.67417352158</v>
      </c>
    </row>
    <row r="247" spans="1:10" s="587" customFormat="1" ht="12" thickTop="1">
      <c r="A247" s="219" t="s">
        <v>491</v>
      </c>
      <c r="B247" s="585">
        <f>B246/B$169</f>
        <v>1</v>
      </c>
      <c r="C247" s="585">
        <f>C246/C$169</f>
        <v>1</v>
      </c>
      <c r="D247" s="585">
        <f>D246/D$169</f>
        <v>1</v>
      </c>
      <c r="E247" s="586">
        <f aca="true" t="shared" si="38" ref="E247:J247">E246/E246</f>
        <v>1</v>
      </c>
      <c r="F247" s="586">
        <f t="shared" si="38"/>
        <v>1</v>
      </c>
      <c r="G247" s="586">
        <f t="shared" si="38"/>
        <v>1</v>
      </c>
      <c r="H247" s="586">
        <f t="shared" si="38"/>
        <v>1</v>
      </c>
      <c r="I247" s="586">
        <f t="shared" si="38"/>
        <v>1</v>
      </c>
      <c r="J247" s="586">
        <f t="shared" si="38"/>
        <v>1</v>
      </c>
    </row>
    <row r="248" spans="1:10" s="587" customFormat="1" ht="11.25">
      <c r="A248" s="219" t="s">
        <v>492</v>
      </c>
      <c r="B248" s="585"/>
      <c r="C248" s="585">
        <f>IF(ISERROR(C246/B246-1),"",C246/B246-1)</f>
        <v>0.06938799465907586</v>
      </c>
      <c r="D248" s="585">
        <f>IF(ISERROR(D246/C246-1),"",D246/C246-1)</f>
        <v>0.02409374056694391</v>
      </c>
      <c r="E248" s="585">
        <f aca="true" t="shared" si="39" ref="E248:J248">IF(ISERROR(E246/D246-1),"",E246/D246-1)</f>
        <v>0.01654825744918509</v>
      </c>
      <c r="F248" s="585">
        <f t="shared" si="39"/>
        <v>0.03576852645645556</v>
      </c>
      <c r="G248" s="585">
        <f t="shared" si="39"/>
        <v>0.03500773391207468</v>
      </c>
      <c r="H248" s="585">
        <f t="shared" si="39"/>
        <v>0.04930038154639371</v>
      </c>
      <c r="I248" s="585">
        <f t="shared" si="39"/>
        <v>0.01969177186981863</v>
      </c>
      <c r="J248" s="585">
        <f t="shared" si="39"/>
        <v>0.029999999999999805</v>
      </c>
    </row>
    <row r="249" spans="1:12" s="587" customFormat="1" ht="11.25">
      <c r="A249" s="588" t="s">
        <v>494</v>
      </c>
      <c r="B249" s="589">
        <f aca="true" t="shared" si="40" ref="B249:J249">B169-B246</f>
        <v>0</v>
      </c>
      <c r="C249" s="589">
        <f t="shared" si="40"/>
        <v>0</v>
      </c>
      <c r="D249" s="589">
        <f t="shared" si="40"/>
        <v>0</v>
      </c>
      <c r="E249" s="590">
        <f t="shared" si="40"/>
        <v>0</v>
      </c>
      <c r="F249" s="590">
        <f t="shared" si="40"/>
        <v>0</v>
      </c>
      <c r="G249" s="590">
        <f t="shared" si="40"/>
        <v>0</v>
      </c>
      <c r="H249" s="590">
        <f t="shared" si="40"/>
        <v>0</v>
      </c>
      <c r="I249" s="590">
        <f t="shared" si="40"/>
        <v>0</v>
      </c>
      <c r="J249" s="590">
        <f t="shared" si="40"/>
        <v>0</v>
      </c>
      <c r="L249" s="591" t="s">
        <v>183</v>
      </c>
    </row>
    <row r="250" spans="1:10" ht="12.75">
      <c r="A250" s="214"/>
      <c r="B250" s="220"/>
      <c r="C250" s="220"/>
      <c r="D250" s="271"/>
      <c r="E250" s="99" t="s">
        <v>41</v>
      </c>
      <c r="F250" s="49"/>
      <c r="G250" s="49"/>
      <c r="H250" s="49"/>
      <c r="I250" s="49"/>
      <c r="J250" s="259"/>
    </row>
    <row r="251" spans="1:12" ht="12.75">
      <c r="A251" s="203"/>
      <c r="B251" s="249"/>
      <c r="C251" s="249"/>
      <c r="D251" s="249"/>
      <c r="E251" s="272">
        <f aca="true" t="shared" si="41" ref="E251:J251">E169-(E216+E221+E225+D228+E93-E261+E231+D234+E240+E266)</f>
        <v>-149.54256607053685</v>
      </c>
      <c r="F251" s="272">
        <f t="shared" si="41"/>
        <v>376.11104002235516</v>
      </c>
      <c r="G251" s="272">
        <f t="shared" si="41"/>
        <v>208.28509632815258</v>
      </c>
      <c r="H251" s="272">
        <f t="shared" si="41"/>
        <v>148.0062180015375</v>
      </c>
      <c r="I251" s="272">
        <f t="shared" si="41"/>
        <v>-216.77526902002865</v>
      </c>
      <c r="J251" s="272">
        <f t="shared" si="41"/>
        <v>-1187.3674644221755</v>
      </c>
      <c r="L251" s="109" t="s">
        <v>245</v>
      </c>
    </row>
    <row r="252" spans="1:12" ht="12.75">
      <c r="A252" s="203"/>
      <c r="B252" s="249"/>
      <c r="C252" s="249"/>
      <c r="D252" s="249"/>
      <c r="E252" s="171"/>
      <c r="F252" s="171"/>
      <c r="G252" s="171"/>
      <c r="H252" s="171"/>
      <c r="I252" s="171"/>
      <c r="J252" s="171"/>
      <c r="L252" s="566" t="s">
        <v>758</v>
      </c>
    </row>
    <row r="253" spans="1:12" ht="13.5" thickBot="1">
      <c r="A253" s="203"/>
      <c r="B253" s="249"/>
      <c r="C253" s="249"/>
      <c r="D253" s="288"/>
      <c r="E253" s="289"/>
      <c r="F253" s="289"/>
      <c r="G253" s="289"/>
      <c r="H253" s="596"/>
      <c r="I253" s="596"/>
      <c r="J253" s="596"/>
      <c r="L253" s="566" t="s">
        <v>759</v>
      </c>
    </row>
    <row r="254" spans="1:16" ht="12.75">
      <c r="A254" s="203"/>
      <c r="B254" s="273"/>
      <c r="C254" s="274"/>
      <c r="D254" s="249"/>
      <c r="E254" s="603" t="s">
        <v>40</v>
      </c>
      <c r="F254" s="603"/>
      <c r="G254" s="603"/>
      <c r="H254" s="616"/>
      <c r="I254" s="616"/>
      <c r="J254" s="638"/>
      <c r="L254" s="566" t="s">
        <v>760</v>
      </c>
      <c r="O254" s="171"/>
      <c r="P254" s="171"/>
    </row>
    <row r="255" spans="1:16" ht="12.75">
      <c r="A255" s="203"/>
      <c r="B255" s="275"/>
      <c r="C255" s="249"/>
      <c r="D255" s="276" t="s">
        <v>649</v>
      </c>
      <c r="E255" s="277">
        <f>E93*E256</f>
        <v>3386.760932066237</v>
      </c>
      <c r="F255" s="277">
        <f>F93*F256</f>
        <v>3507.134164015406</v>
      </c>
      <c r="G255" s="277">
        <f>G93*G256</f>
        <v>3629.079728907488</v>
      </c>
      <c r="H255" s="277">
        <f>H93*H256</f>
        <v>3834.696417788015</v>
      </c>
      <c r="I255" s="277">
        <f>I93*I256</f>
        <v>3885.30283852023</v>
      </c>
      <c r="J255" s="639">
        <f>I228+J93-J228</f>
        <v>5535.480497415119</v>
      </c>
      <c r="O255" s="279"/>
      <c r="P255" s="279"/>
    </row>
    <row r="256" spans="1:16" ht="12.75">
      <c r="A256" s="203"/>
      <c r="B256" s="275"/>
      <c r="C256" s="249"/>
      <c r="D256" s="280"/>
      <c r="E256" s="280">
        <v>0.55</v>
      </c>
      <c r="F256" s="280">
        <f>E256</f>
        <v>0.55</v>
      </c>
      <c r="G256" s="280">
        <f>F256</f>
        <v>0.55</v>
      </c>
      <c r="H256" s="280">
        <f>G256</f>
        <v>0.55</v>
      </c>
      <c r="I256" s="280">
        <f>H256</f>
        <v>0.55</v>
      </c>
      <c r="J256" s="640"/>
      <c r="O256" s="282"/>
      <c r="P256" s="282"/>
    </row>
    <row r="257" spans="1:16" ht="12.75">
      <c r="A257" s="203"/>
      <c r="B257" s="275"/>
      <c r="C257" s="249"/>
      <c r="D257" s="276"/>
      <c r="E257" s="283" t="s">
        <v>806</v>
      </c>
      <c r="F257" s="49"/>
      <c r="G257" s="49"/>
      <c r="H257" s="49"/>
      <c r="I257" s="49"/>
      <c r="J257" s="281"/>
      <c r="O257" s="282"/>
      <c r="P257" s="282"/>
    </row>
    <row r="258" spans="1:16" ht="12.75">
      <c r="A258" s="203"/>
      <c r="B258" s="275"/>
      <c r="C258" s="249"/>
      <c r="D258" s="276" t="s">
        <v>650</v>
      </c>
      <c r="E258" s="277">
        <f>E259</f>
        <v>63</v>
      </c>
      <c r="F258" s="277">
        <f>F259</f>
        <v>0</v>
      </c>
      <c r="G258" s="277">
        <f>G259</f>
        <v>0</v>
      </c>
      <c r="H258" s="277">
        <f>H259</f>
        <v>0</v>
      </c>
      <c r="I258" s="277">
        <f>I259</f>
        <v>0</v>
      </c>
      <c r="J258" s="278">
        <f>I258*$J$112</f>
        <v>0</v>
      </c>
      <c r="O258" s="282"/>
      <c r="P258" s="282"/>
    </row>
    <row r="259" spans="1:16" ht="12.75">
      <c r="A259" s="203"/>
      <c r="B259" s="275"/>
      <c r="C259" s="249"/>
      <c r="D259" s="276"/>
      <c r="E259" s="284">
        <v>63</v>
      </c>
      <c r="F259" s="284">
        <v>0</v>
      </c>
      <c r="G259" s="284">
        <f>F259</f>
        <v>0</v>
      </c>
      <c r="H259" s="284">
        <f>G259</f>
        <v>0</v>
      </c>
      <c r="I259" s="284">
        <f>H259</f>
        <v>0</v>
      </c>
      <c r="J259" s="281"/>
      <c r="O259" s="171"/>
      <c r="P259" s="171"/>
    </row>
    <row r="260" spans="1:16" ht="12.75">
      <c r="A260" s="203"/>
      <c r="B260" s="275"/>
      <c r="C260" s="249"/>
      <c r="D260" s="276"/>
      <c r="E260" s="283" t="s">
        <v>788</v>
      </c>
      <c r="F260" s="49"/>
      <c r="G260" s="49"/>
      <c r="H260" s="49"/>
      <c r="I260" s="49"/>
      <c r="J260" s="641"/>
      <c r="O260" s="171"/>
      <c r="P260" s="171"/>
    </row>
    <row r="261" spans="1:16" ht="13.5" thickBot="1">
      <c r="A261" s="203"/>
      <c r="B261" s="275"/>
      <c r="C261" s="249"/>
      <c r="D261" s="276" t="s">
        <v>651</v>
      </c>
      <c r="E261" s="285">
        <f aca="true" t="shared" si="42" ref="E261:J261">E255+E258</f>
        <v>3449.760932066237</v>
      </c>
      <c r="F261" s="285">
        <f t="shared" si="42"/>
        <v>3507.134164015406</v>
      </c>
      <c r="G261" s="285">
        <f t="shared" si="42"/>
        <v>3629.079728907488</v>
      </c>
      <c r="H261" s="285">
        <f t="shared" si="42"/>
        <v>3834.696417788015</v>
      </c>
      <c r="I261" s="285">
        <f t="shared" si="42"/>
        <v>3885.30283852023</v>
      </c>
      <c r="J261" s="286">
        <f t="shared" si="42"/>
        <v>5535.480497415119</v>
      </c>
      <c r="O261" s="171"/>
      <c r="P261" s="171"/>
    </row>
    <row r="262" spans="1:16" ht="14.25" thickBot="1" thickTop="1">
      <c r="A262" s="203"/>
      <c r="B262" s="287"/>
      <c r="C262" s="288"/>
      <c r="D262" s="288"/>
      <c r="E262" s="289" t="s">
        <v>39</v>
      </c>
      <c r="F262" s="289"/>
      <c r="G262" s="289"/>
      <c r="H262" s="289"/>
      <c r="I262" s="289"/>
      <c r="J262" s="290"/>
      <c r="O262" s="171"/>
      <c r="P262" s="171"/>
    </row>
    <row r="263" spans="1:16" ht="13.5" thickBot="1">
      <c r="A263" s="203"/>
      <c r="B263" s="249"/>
      <c r="C263" s="249"/>
      <c r="D263" s="249"/>
      <c r="E263" s="171"/>
      <c r="F263" s="171"/>
      <c r="G263" s="171"/>
      <c r="H263" s="171"/>
      <c r="I263" s="171"/>
      <c r="J263" s="171"/>
      <c r="O263" s="282"/>
      <c r="P263" s="282"/>
    </row>
    <row r="264" spans="1:16" ht="12.75">
      <c r="A264" s="203"/>
      <c r="B264" s="273"/>
      <c r="C264" s="601"/>
      <c r="D264" s="602" t="s">
        <v>761</v>
      </c>
      <c r="E264" s="603" t="s">
        <v>768</v>
      </c>
      <c r="F264" s="603"/>
      <c r="G264" s="603"/>
      <c r="H264" s="603"/>
      <c r="I264" s="615"/>
      <c r="J264" s="642"/>
      <c r="O264" s="282"/>
      <c r="P264" s="282"/>
    </row>
    <row r="265" spans="1:16" ht="12.75">
      <c r="A265" s="203"/>
      <c r="B265" s="275"/>
      <c r="C265" s="249"/>
      <c r="D265" s="276" t="s">
        <v>762</v>
      </c>
      <c r="E265" s="171"/>
      <c r="F265" s="171"/>
      <c r="G265" s="171"/>
      <c r="H265" s="171"/>
      <c r="I265" s="171"/>
      <c r="J265" s="281"/>
      <c r="O265" s="282"/>
      <c r="P265" s="282"/>
    </row>
    <row r="266" spans="1:16" ht="12.75">
      <c r="A266" s="203"/>
      <c r="B266" s="275"/>
      <c r="C266" s="249"/>
      <c r="D266" s="597" t="str">
        <f>E264</f>
        <v>Treasury Stock Purchases:</v>
      </c>
      <c r="E266" s="526">
        <f>E267</f>
        <v>-3000</v>
      </c>
      <c r="F266" s="526">
        <f>F267</f>
        <v>-3000</v>
      </c>
      <c r="G266" s="526">
        <f>G267</f>
        <v>-3000</v>
      </c>
      <c r="H266" s="526">
        <f>H267</f>
        <v>-3000</v>
      </c>
      <c r="I266" s="526">
        <f>I267</f>
        <v>-3000</v>
      </c>
      <c r="J266" s="281"/>
      <c r="O266" s="282"/>
      <c r="P266" s="282"/>
    </row>
    <row r="267" spans="1:16" ht="12.75">
      <c r="A267" s="203"/>
      <c r="B267" s="275"/>
      <c r="C267" s="249"/>
      <c r="D267" s="249"/>
      <c r="E267" s="595">
        <v>-3000</v>
      </c>
      <c r="F267" s="595">
        <v>-3000</v>
      </c>
      <c r="G267" s="595">
        <v>-3000</v>
      </c>
      <c r="H267" s="595">
        <v>-3000</v>
      </c>
      <c r="I267" s="595">
        <v>-3000</v>
      </c>
      <c r="J267" s="281"/>
      <c r="O267" s="282"/>
      <c r="P267" s="282"/>
    </row>
    <row r="268" spans="1:16" ht="12.75">
      <c r="A268" s="203"/>
      <c r="B268" s="275"/>
      <c r="C268" s="249"/>
      <c r="D268" s="249"/>
      <c r="E268" s="223" t="s">
        <v>764</v>
      </c>
      <c r="F268" s="223"/>
      <c r="G268" s="223"/>
      <c r="H268" s="223"/>
      <c r="I268" s="223"/>
      <c r="J268" s="281"/>
      <c r="O268" s="282"/>
      <c r="P268" s="282"/>
    </row>
    <row r="269" spans="1:16" ht="12.75">
      <c r="A269" s="203"/>
      <c r="B269" s="275"/>
      <c r="C269" s="249"/>
      <c r="D269" s="276" t="s">
        <v>763</v>
      </c>
      <c r="E269" s="598">
        <f aca="true" t="shared" si="43" ref="E269:J269">E251</f>
        <v>-149.54256607053685</v>
      </c>
      <c r="F269" s="598">
        <f t="shared" si="43"/>
        <v>376.11104002235516</v>
      </c>
      <c r="G269" s="598">
        <f t="shared" si="43"/>
        <v>208.28509632815258</v>
      </c>
      <c r="H269" s="598">
        <f t="shared" si="43"/>
        <v>148.0062180015375</v>
      </c>
      <c r="I269" s="598">
        <f t="shared" si="43"/>
        <v>-216.77526902002865</v>
      </c>
      <c r="J269" s="604">
        <f t="shared" si="43"/>
        <v>-1187.3674644221755</v>
      </c>
      <c r="O269" s="282"/>
      <c r="P269" s="282"/>
    </row>
    <row r="270" spans="1:16" ht="12.75">
      <c r="A270" s="203"/>
      <c r="B270" s="275"/>
      <c r="C270" s="249"/>
      <c r="D270" s="249"/>
      <c r="E270" s="599" t="s">
        <v>766</v>
      </c>
      <c r="F270" s="171"/>
      <c r="G270" s="171"/>
      <c r="H270" s="171"/>
      <c r="I270" s="171"/>
      <c r="J270" s="281"/>
      <c r="O270" s="282"/>
      <c r="P270" s="282"/>
    </row>
    <row r="271" spans="1:16" ht="13.5" thickBot="1">
      <c r="A271" s="203"/>
      <c r="B271" s="275"/>
      <c r="C271" s="249"/>
      <c r="D271" s="276" t="s">
        <v>765</v>
      </c>
      <c r="E271" s="600">
        <f aca="true" t="shared" si="44" ref="E271:J271">E266+E269</f>
        <v>-3149.542566070537</v>
      </c>
      <c r="F271" s="600">
        <f t="shared" si="44"/>
        <v>-2623.888959977645</v>
      </c>
      <c r="G271" s="600">
        <f t="shared" si="44"/>
        <v>-2791.7149036718474</v>
      </c>
      <c r="H271" s="600">
        <f t="shared" si="44"/>
        <v>-2851.9937819984625</v>
      </c>
      <c r="I271" s="600">
        <f t="shared" si="44"/>
        <v>-3216.7752690200286</v>
      </c>
      <c r="J271" s="605">
        <f t="shared" si="44"/>
        <v>-1187.3674644221755</v>
      </c>
      <c r="O271" s="282"/>
      <c r="P271" s="282"/>
    </row>
    <row r="272" spans="1:16" ht="14.25" thickBot="1" thickTop="1">
      <c r="A272" s="203"/>
      <c r="B272" s="287"/>
      <c r="C272" s="288"/>
      <c r="D272" s="288"/>
      <c r="E272" s="289" t="s">
        <v>767</v>
      </c>
      <c r="F272" s="289"/>
      <c r="G272" s="289"/>
      <c r="H272" s="289"/>
      <c r="I272" s="289"/>
      <c r="J272" s="290"/>
      <c r="O272" s="282"/>
      <c r="P272" s="282"/>
    </row>
    <row r="273" spans="1:16" ht="12.75">
      <c r="A273" s="203"/>
      <c r="B273" s="249"/>
      <c r="C273" s="249"/>
      <c r="D273" s="249"/>
      <c r="E273" s="171"/>
      <c r="F273" s="171"/>
      <c r="G273" s="171"/>
      <c r="H273" s="171"/>
      <c r="I273" s="171"/>
      <c r="J273" s="171"/>
      <c r="O273" s="282"/>
      <c r="P273" s="282"/>
    </row>
    <row r="274" spans="1:16" ht="12.75">
      <c r="A274" s="203"/>
      <c r="B274" s="249"/>
      <c r="C274" s="249"/>
      <c r="D274" s="249"/>
      <c r="E274" s="171"/>
      <c r="F274" s="171"/>
      <c r="G274" s="171"/>
      <c r="H274" s="171"/>
      <c r="I274" s="171"/>
      <c r="J274" s="171"/>
      <c r="O274" s="282"/>
      <c r="P274" s="282"/>
    </row>
    <row r="275" spans="1:16" ht="12.75">
      <c r="A275" s="203"/>
      <c r="B275" s="249"/>
      <c r="C275" s="249"/>
      <c r="D275" s="249"/>
      <c r="E275" s="171"/>
      <c r="F275" s="171"/>
      <c r="G275" s="171"/>
      <c r="H275" s="171"/>
      <c r="I275" s="171"/>
      <c r="J275" s="171"/>
      <c r="O275" s="279"/>
      <c r="P275" s="279"/>
    </row>
    <row r="276" spans="1:16" ht="12.75">
      <c r="A276" s="181" t="s">
        <v>474</v>
      </c>
      <c r="B276" s="182" t="s">
        <v>28</v>
      </c>
      <c r="C276" s="183"/>
      <c r="D276" s="183"/>
      <c r="E276" s="184"/>
      <c r="F276" s="185"/>
      <c r="G276" s="185"/>
      <c r="H276" s="185"/>
      <c r="I276" s="185"/>
      <c r="J276" s="186"/>
      <c r="O276" s="282"/>
      <c r="P276" s="282"/>
    </row>
    <row r="277" spans="1:16" ht="12.75">
      <c r="A277" s="187" t="str">
        <f>Data!A9</f>
        <v>Analyst Name:</v>
      </c>
      <c r="B277" s="291" t="str">
        <f>Data!B9</f>
        <v>Wahlen, Baginski &amp; Bradshaw</v>
      </c>
      <c r="C277" s="183"/>
      <c r="D277" s="183"/>
      <c r="E277" s="184"/>
      <c r="F277" s="185"/>
      <c r="G277" s="185"/>
      <c r="H277" s="185"/>
      <c r="I277" s="185"/>
      <c r="J277" s="186"/>
      <c r="O277" s="282"/>
      <c r="P277" s="282"/>
    </row>
    <row r="278" spans="1:16" ht="12.75">
      <c r="A278" s="187" t="str">
        <f>Data!A10</f>
        <v>Company Name:</v>
      </c>
      <c r="B278" s="292" t="str">
        <f>Data!B10</f>
        <v>PepsiCo</v>
      </c>
      <c r="C278" s="293"/>
      <c r="D278" s="293"/>
      <c r="E278" s="294"/>
      <c r="F278" s="179"/>
      <c r="G278" s="179"/>
      <c r="H278" s="179"/>
      <c r="I278" s="179"/>
      <c r="J278" s="242"/>
      <c r="O278" s="282"/>
      <c r="P278" s="282"/>
    </row>
    <row r="279" spans="1:16" ht="13.5" thickBot="1">
      <c r="A279" s="203"/>
      <c r="B279" s="295"/>
      <c r="C279" s="296"/>
      <c r="D279" s="296"/>
      <c r="E279" s="297"/>
      <c r="F279" s="297"/>
      <c r="G279" s="297"/>
      <c r="H279" s="297"/>
      <c r="I279" s="297"/>
      <c r="J279" s="297"/>
      <c r="O279" s="171"/>
      <c r="P279" s="171"/>
    </row>
    <row r="280" spans="1:16" ht="13.5" thickTop="1">
      <c r="A280" s="214"/>
      <c r="B280" s="51"/>
      <c r="C280" s="207" t="s">
        <v>482</v>
      </c>
      <c r="D280" s="208"/>
      <c r="E280" s="209" t="s">
        <v>483</v>
      </c>
      <c r="F280" s="210"/>
      <c r="G280" s="210"/>
      <c r="H280" s="210"/>
      <c r="I280" s="210"/>
      <c r="J280" s="209"/>
      <c r="L280" s="109" t="s">
        <v>6</v>
      </c>
      <c r="O280" s="171"/>
      <c r="P280" s="171"/>
    </row>
    <row r="281" spans="1:16" ht="12.75">
      <c r="A281" s="214" t="s">
        <v>496</v>
      </c>
      <c r="B281" s="212"/>
      <c r="C281" s="212">
        <f>C19</f>
        <v>2011</v>
      </c>
      <c r="D281" s="212">
        <f>D19</f>
        <v>2012</v>
      </c>
      <c r="E281" s="213" t="str">
        <f aca="true" t="shared" si="45" ref="E281:J281">E$19</f>
        <v>Year +1</v>
      </c>
      <c r="F281" s="213" t="str">
        <f t="shared" si="45"/>
        <v>Year +2</v>
      </c>
      <c r="G281" s="213" t="str">
        <f t="shared" si="45"/>
        <v>Year +3</v>
      </c>
      <c r="H281" s="213" t="str">
        <f t="shared" si="45"/>
        <v>Year +4</v>
      </c>
      <c r="I281" s="213" t="str">
        <f t="shared" si="45"/>
        <v>Year +5</v>
      </c>
      <c r="J281" s="213" t="str">
        <f t="shared" si="45"/>
        <v>Year +6</v>
      </c>
      <c r="L281" s="17" t="s">
        <v>178</v>
      </c>
      <c r="O281" s="282"/>
      <c r="P281" s="282"/>
    </row>
    <row r="282" spans="1:16" ht="12.75">
      <c r="A282" s="214"/>
      <c r="B282" s="215"/>
      <c r="C282" s="215"/>
      <c r="D282" s="215"/>
      <c r="E282" s="97"/>
      <c r="F282" s="49"/>
      <c r="G282" s="49"/>
      <c r="H282" s="49"/>
      <c r="I282" s="49"/>
      <c r="J282" s="259"/>
      <c r="O282" s="282"/>
      <c r="P282" s="282"/>
    </row>
    <row r="283" spans="1:16" ht="12.75">
      <c r="A283" s="214" t="s">
        <v>421</v>
      </c>
      <c r="B283" s="298"/>
      <c r="C283" s="299">
        <f>C87</f>
        <v>6462</v>
      </c>
      <c r="D283" s="299">
        <f aca="true" t="shared" si="46" ref="D283:J283">D87</f>
        <v>6214</v>
      </c>
      <c r="E283" s="299">
        <f t="shared" si="46"/>
        <v>6168.247149211339</v>
      </c>
      <c r="F283" s="299">
        <f t="shared" si="46"/>
        <v>6387.107570937102</v>
      </c>
      <c r="G283" s="299">
        <f t="shared" si="46"/>
        <v>6608.826779831796</v>
      </c>
      <c r="H283" s="299">
        <f t="shared" si="46"/>
        <v>6982.675305069118</v>
      </c>
      <c r="I283" s="299">
        <f t="shared" si="46"/>
        <v>7074.68697912769</v>
      </c>
      <c r="J283" s="299">
        <f t="shared" si="46"/>
        <v>7286.927588501516</v>
      </c>
      <c r="K283" s="17">
        <v>1</v>
      </c>
      <c r="O283" s="171"/>
      <c r="P283" s="171"/>
    </row>
    <row r="284" spans="1:16" ht="12.75">
      <c r="A284" s="522" t="s">
        <v>652</v>
      </c>
      <c r="B284" s="298"/>
      <c r="C284" s="299">
        <f>B151-C151</f>
        <v>1459</v>
      </c>
      <c r="D284" s="299">
        <f aca="true" t="shared" si="47" ref="D284:J284">C151-D151</f>
        <v>1584</v>
      </c>
      <c r="E284" s="299">
        <f t="shared" si="47"/>
        <v>2734.1229699026662</v>
      </c>
      <c r="F284" s="299">
        <f t="shared" si="47"/>
        <v>2972.203337962441</v>
      </c>
      <c r="G284" s="299">
        <f t="shared" si="47"/>
        <v>3220.3154211303918</v>
      </c>
      <c r="H284" s="299">
        <f t="shared" si="47"/>
        <v>3483.957777289106</v>
      </c>
      <c r="I284" s="299">
        <f t="shared" si="47"/>
        <v>3753.739062450244</v>
      </c>
      <c r="J284" s="299">
        <f t="shared" si="47"/>
        <v>995.7101570620434</v>
      </c>
      <c r="K284" s="17">
        <v>2</v>
      </c>
      <c r="L284" s="17" t="s">
        <v>179</v>
      </c>
      <c r="O284" s="171"/>
      <c r="P284" s="171"/>
    </row>
    <row r="285" spans="1:16" ht="12.75">
      <c r="A285" s="522" t="s">
        <v>653</v>
      </c>
      <c r="B285" s="298"/>
      <c r="C285" s="299">
        <f aca="true" t="shared" si="48" ref="C285:J285">-C37</f>
        <v>133</v>
      </c>
      <c r="D285" s="299">
        <f t="shared" si="48"/>
        <v>119</v>
      </c>
      <c r="E285" s="299">
        <f>-E37</f>
        <v>110</v>
      </c>
      <c r="F285" s="299">
        <f t="shared" si="48"/>
        <v>95</v>
      </c>
      <c r="G285" s="299">
        <f t="shared" si="48"/>
        <v>86</v>
      </c>
      <c r="H285" s="299">
        <f t="shared" si="48"/>
        <v>78</v>
      </c>
      <c r="I285" s="299">
        <f t="shared" si="48"/>
        <v>72</v>
      </c>
      <c r="J285" s="299">
        <f t="shared" si="48"/>
        <v>74.16</v>
      </c>
      <c r="K285" s="17">
        <v>3</v>
      </c>
      <c r="L285" s="17" t="s">
        <v>529</v>
      </c>
      <c r="O285" s="171"/>
      <c r="P285" s="171"/>
    </row>
    <row r="286" spans="1:16" ht="12.75">
      <c r="A286" s="522" t="s">
        <v>654</v>
      </c>
      <c r="B286" s="298"/>
      <c r="C286" s="216">
        <f>B124-C124</f>
        <v>-589</v>
      </c>
      <c r="D286" s="299">
        <f aca="true" t="shared" si="49" ref="D286:J286">C124-D124</f>
        <v>-129</v>
      </c>
      <c r="E286" s="299">
        <f t="shared" si="49"/>
        <v>-245.95448712328925</v>
      </c>
      <c r="F286" s="299">
        <f t="shared" si="49"/>
        <v>-304.0790482464663</v>
      </c>
      <c r="G286" s="299">
        <f t="shared" si="49"/>
        <v>-319.85453661745214</v>
      </c>
      <c r="H286" s="299">
        <f t="shared" si="49"/>
        <v>-495.1723825321942</v>
      </c>
      <c r="I286" s="299">
        <f t="shared" si="49"/>
        <v>-195.73565140389655</v>
      </c>
      <c r="J286" s="299">
        <f t="shared" si="49"/>
        <v>-258.0538831776994</v>
      </c>
      <c r="K286" s="17">
        <v>4</v>
      </c>
      <c r="O286" s="282"/>
      <c r="P286" s="282"/>
    </row>
    <row r="287" spans="1:16" ht="12.75">
      <c r="A287" s="522" t="s">
        <v>604</v>
      </c>
      <c r="B287" s="298"/>
      <c r="C287" s="216">
        <f>B127-C127</f>
        <v>-455</v>
      </c>
      <c r="D287" s="299">
        <f aca="true" t="shared" si="50" ref="D287:J287">C127-D127</f>
        <v>246</v>
      </c>
      <c r="E287" s="299">
        <f t="shared" si="50"/>
        <v>-356.9449428361645</v>
      </c>
      <c r="F287" s="299">
        <f t="shared" si="50"/>
        <v>-219.6057319201941</v>
      </c>
      <c r="G287" s="299">
        <f t="shared" si="50"/>
        <v>-232.99220519654136</v>
      </c>
      <c r="H287" s="299">
        <f t="shared" si="50"/>
        <v>-336.4651156385098</v>
      </c>
      <c r="I287" s="299">
        <f t="shared" si="50"/>
        <v>-173.3690782907397</v>
      </c>
      <c r="J287" s="299">
        <f t="shared" si="50"/>
        <v>-147.01131221646483</v>
      </c>
      <c r="K287" s="17">
        <v>5</v>
      </c>
      <c r="O287" s="171"/>
      <c r="P287" s="171"/>
    </row>
    <row r="288" spans="1:16" ht="12.75">
      <c r="A288" s="522" t="s">
        <v>605</v>
      </c>
      <c r="B288" s="298"/>
      <c r="C288" s="216">
        <f>B130-C130</f>
        <v>-772</v>
      </c>
      <c r="D288" s="299">
        <f aca="true" t="shared" si="51" ref="D288:J288">C130-D130</f>
        <v>798</v>
      </c>
      <c r="E288" s="299">
        <f t="shared" si="51"/>
        <v>-61.11884620717046</v>
      </c>
      <c r="F288" s="299">
        <f t="shared" si="51"/>
        <v>-64.26798380155697</v>
      </c>
      <c r="G288" s="299">
        <f t="shared" si="51"/>
        <v>-67.60217876479032</v>
      </c>
      <c r="H288" s="299">
        <f t="shared" si="51"/>
        <v>-104.65611111017165</v>
      </c>
      <c r="I288" s="299">
        <f t="shared" si="51"/>
        <v>-41.369294419840344</v>
      </c>
      <c r="J288" s="299">
        <f t="shared" si="51"/>
        <v>-54.54043242910598</v>
      </c>
      <c r="K288" s="17">
        <v>6</v>
      </c>
      <c r="O288" s="171"/>
      <c r="P288" s="171"/>
    </row>
    <row r="289" spans="1:16" ht="12.75">
      <c r="A289" s="522" t="s">
        <v>606</v>
      </c>
      <c r="B289" s="298"/>
      <c r="C289" s="216">
        <f>B136-C136</f>
        <v>0</v>
      </c>
      <c r="D289" s="299">
        <f aca="true" t="shared" si="52" ref="D289:J289">C136-D136</f>
        <v>0</v>
      </c>
      <c r="E289" s="299">
        <f t="shared" si="52"/>
        <v>0</v>
      </c>
      <c r="F289" s="299">
        <f t="shared" si="52"/>
        <v>0</v>
      </c>
      <c r="G289" s="299">
        <f t="shared" si="52"/>
        <v>0</v>
      </c>
      <c r="H289" s="299">
        <f t="shared" si="52"/>
        <v>0</v>
      </c>
      <c r="I289" s="299">
        <f t="shared" si="52"/>
        <v>0</v>
      </c>
      <c r="J289" s="299">
        <f t="shared" si="52"/>
        <v>0</v>
      </c>
      <c r="K289" s="17">
        <v>7</v>
      </c>
      <c r="L289" s="171"/>
      <c r="N289" s="171"/>
      <c r="O289" s="279"/>
      <c r="P289" s="279"/>
    </row>
    <row r="290" spans="1:16" ht="12.75">
      <c r="A290" s="522" t="s">
        <v>607</v>
      </c>
      <c r="B290" s="298"/>
      <c r="C290" s="216">
        <f>B139-C139</f>
        <v>0</v>
      </c>
      <c r="D290" s="299">
        <f aca="true" t="shared" si="53" ref="D290:J290">C139-D139</f>
        <v>0</v>
      </c>
      <c r="E290" s="299">
        <f t="shared" si="53"/>
        <v>0</v>
      </c>
      <c r="F290" s="299">
        <f t="shared" si="53"/>
        <v>0</v>
      </c>
      <c r="G290" s="299">
        <f t="shared" si="53"/>
        <v>0</v>
      </c>
      <c r="H290" s="299">
        <f t="shared" si="53"/>
        <v>0</v>
      </c>
      <c r="I290" s="299">
        <f t="shared" si="53"/>
        <v>0</v>
      </c>
      <c r="J290" s="299">
        <f t="shared" si="53"/>
        <v>0</v>
      </c>
      <c r="K290" s="17">
        <v>8</v>
      </c>
      <c r="L290" s="171"/>
      <c r="N290" s="171"/>
      <c r="O290" s="282"/>
      <c r="P290" s="282"/>
    </row>
    <row r="291" spans="1:16" ht="12.75">
      <c r="A291" s="522" t="s">
        <v>655</v>
      </c>
      <c r="B291" s="298"/>
      <c r="C291" s="216">
        <f>C174-B174</f>
        <v>218</v>
      </c>
      <c r="D291" s="299">
        <f aca="true" t="shared" si="54" ref="D291:J291">D174-C174</f>
        <v>368</v>
      </c>
      <c r="E291" s="299">
        <f t="shared" si="54"/>
        <v>72.83400255289871</v>
      </c>
      <c r="F291" s="299">
        <f t="shared" si="54"/>
        <v>177.65422695770394</v>
      </c>
      <c r="G291" s="299">
        <f t="shared" si="54"/>
        <v>208.80948865272512</v>
      </c>
      <c r="H291" s="299">
        <f t="shared" si="54"/>
        <v>330.3076744376558</v>
      </c>
      <c r="I291" s="299">
        <f t="shared" si="54"/>
        <v>109.64061564308668</v>
      </c>
      <c r="J291" s="299">
        <f t="shared" si="54"/>
        <v>160.50738024732254</v>
      </c>
      <c r="K291" s="17">
        <v>9</v>
      </c>
      <c r="L291" s="171"/>
      <c r="N291" s="171"/>
      <c r="O291" s="282"/>
      <c r="P291" s="282"/>
    </row>
    <row r="292" spans="1:16" ht="12.75">
      <c r="A292" s="522" t="s">
        <v>656</v>
      </c>
      <c r="B292" s="298"/>
      <c r="C292" s="216">
        <f>C177-B177</f>
        <v>616</v>
      </c>
      <c r="D292" s="299">
        <f aca="true" t="shared" si="55" ref="D292:J292">D177-C177</f>
        <v>-222</v>
      </c>
      <c r="E292" s="299">
        <f t="shared" si="55"/>
        <v>307.9497240945466</v>
      </c>
      <c r="F292" s="299">
        <f t="shared" si="55"/>
        <v>323.81677842407225</v>
      </c>
      <c r="G292" s="299">
        <f t="shared" si="55"/>
        <v>340.6162516262457</v>
      </c>
      <c r="H292" s="299">
        <f t="shared" si="55"/>
        <v>527.3139553705205</v>
      </c>
      <c r="I292" s="299">
        <f t="shared" si="55"/>
        <v>208.4408262451998</v>
      </c>
      <c r="J292" s="299">
        <f t="shared" si="55"/>
        <v>274.8041260728187</v>
      </c>
      <c r="K292" s="17">
        <v>10</v>
      </c>
      <c r="L292" s="171"/>
      <c r="N292" s="171"/>
      <c r="O292" s="282"/>
      <c r="P292" s="282"/>
    </row>
    <row r="293" spans="1:16" ht="12.75">
      <c r="A293" s="522" t="s">
        <v>657</v>
      </c>
      <c r="B293" s="298"/>
      <c r="C293" s="216">
        <f>C189-B189</f>
        <v>121</v>
      </c>
      <c r="D293" s="299">
        <f aca="true" t="shared" si="56" ref="D293:J293">D189-C189</f>
        <v>179</v>
      </c>
      <c r="E293" s="299">
        <f t="shared" si="56"/>
        <v>8.36564419746145</v>
      </c>
      <c r="F293" s="299">
        <f t="shared" si="56"/>
        <v>13.56935008114715</v>
      </c>
      <c r="G293" s="299">
        <f t="shared" si="56"/>
        <v>13.755763724448116</v>
      </c>
      <c r="H293" s="299">
        <f t="shared" si="56"/>
        <v>20.050009540942767</v>
      </c>
      <c r="I293" s="299">
        <f t="shared" si="56"/>
        <v>8.403281842027582</v>
      </c>
      <c r="J293" s="299">
        <f t="shared" si="56"/>
        <v>13.054321481580814</v>
      </c>
      <c r="K293" s="17">
        <v>11</v>
      </c>
      <c r="L293" s="171"/>
      <c r="N293" s="171"/>
      <c r="O293" s="282"/>
      <c r="P293" s="282"/>
    </row>
    <row r="294" spans="1:16" ht="12.75">
      <c r="A294" s="522" t="s">
        <v>609</v>
      </c>
      <c r="B294" s="298"/>
      <c r="C294" s="216">
        <f>C192-B192</f>
        <v>0</v>
      </c>
      <c r="D294" s="299">
        <f aca="true" t="shared" si="57" ref="D294:J294">D192-C192</f>
        <v>0</v>
      </c>
      <c r="E294" s="299">
        <f t="shared" si="57"/>
        <v>0</v>
      </c>
      <c r="F294" s="299">
        <f t="shared" si="57"/>
        <v>0</v>
      </c>
      <c r="G294" s="299">
        <f t="shared" si="57"/>
        <v>0</v>
      </c>
      <c r="H294" s="299">
        <f t="shared" si="57"/>
        <v>0</v>
      </c>
      <c r="I294" s="299">
        <f t="shared" si="57"/>
        <v>0</v>
      </c>
      <c r="J294" s="299">
        <f t="shared" si="57"/>
        <v>0</v>
      </c>
      <c r="K294" s="17">
        <v>12</v>
      </c>
      <c r="L294" s="171"/>
      <c r="N294" s="171"/>
      <c r="O294" s="282"/>
      <c r="P294" s="282"/>
    </row>
    <row r="295" spans="1:16" ht="12.75">
      <c r="A295" s="522" t="s">
        <v>610</v>
      </c>
      <c r="B295" s="298"/>
      <c r="C295" s="216">
        <f>C195-B195</f>
        <v>0</v>
      </c>
      <c r="D295" s="299">
        <f aca="true" t="shared" si="58" ref="D295:J295">D195-C195</f>
        <v>0</v>
      </c>
      <c r="E295" s="299">
        <f t="shared" si="58"/>
        <v>0</v>
      </c>
      <c r="F295" s="299">
        <f t="shared" si="58"/>
        <v>0</v>
      </c>
      <c r="G295" s="299">
        <f t="shared" si="58"/>
        <v>0</v>
      </c>
      <c r="H295" s="299">
        <f t="shared" si="58"/>
        <v>0</v>
      </c>
      <c r="I295" s="299">
        <f t="shared" si="58"/>
        <v>0</v>
      </c>
      <c r="J295" s="299">
        <f t="shared" si="58"/>
        <v>0</v>
      </c>
      <c r="K295" s="17">
        <v>13</v>
      </c>
      <c r="L295" s="171"/>
      <c r="N295" s="171"/>
      <c r="O295" s="171"/>
      <c r="P295" s="171"/>
    </row>
    <row r="296" spans="1:16" ht="12.75">
      <c r="A296" s="522" t="s">
        <v>658</v>
      </c>
      <c r="B296" s="298"/>
      <c r="C296" s="299">
        <f>(B133-C133)+(B163-C163)+(C186-B186)+(C207-B207)</f>
        <v>938</v>
      </c>
      <c r="D296" s="299">
        <f aca="true" t="shared" si="59" ref="D296:J296">(C133-D133)+(C163-D163)+(D186-C186)+(D207-C207)</f>
        <v>68</v>
      </c>
      <c r="E296" s="299">
        <f t="shared" si="59"/>
        <v>96.37276108547576</v>
      </c>
      <c r="F296" s="299">
        <f t="shared" si="59"/>
        <v>184.54316110360105</v>
      </c>
      <c r="G296" s="299">
        <f t="shared" si="59"/>
        <v>187.07838665249437</v>
      </c>
      <c r="H296" s="299">
        <f t="shared" si="59"/>
        <v>272.68012975682177</v>
      </c>
      <c r="I296" s="299">
        <f t="shared" si="59"/>
        <v>114.28463305157493</v>
      </c>
      <c r="J296" s="299">
        <f t="shared" si="59"/>
        <v>177.53877214949898</v>
      </c>
      <c r="K296" s="17">
        <v>14</v>
      </c>
      <c r="L296" s="171"/>
      <c r="M296" s="171"/>
      <c r="N296" s="171"/>
      <c r="O296" s="171"/>
      <c r="P296" s="171"/>
    </row>
    <row r="297" spans="1:16" ht="12.75">
      <c r="A297" s="522" t="s">
        <v>659</v>
      </c>
      <c r="B297" s="298"/>
      <c r="C297" s="299">
        <f>C204-B204</f>
        <v>1537</v>
      </c>
      <c r="D297" s="299">
        <f aca="true" t="shared" si="60" ref="D297:J297">D204-C204</f>
        <v>-1723</v>
      </c>
      <c r="E297" s="299">
        <f t="shared" si="60"/>
        <v>270.38580847431786</v>
      </c>
      <c r="F297" s="299">
        <f t="shared" si="60"/>
        <v>284.31738878538727</v>
      </c>
      <c r="G297" s="299">
        <f t="shared" si="60"/>
        <v>299.06765088439715</v>
      </c>
      <c r="H297" s="299">
        <f t="shared" si="60"/>
        <v>462.9918424569669</v>
      </c>
      <c r="I297" s="299">
        <f t="shared" si="60"/>
        <v>183.01507328533808</v>
      </c>
      <c r="J297" s="299">
        <f t="shared" si="60"/>
        <v>241.28333291659237</v>
      </c>
      <c r="K297" s="17">
        <v>15</v>
      </c>
      <c r="L297" s="171"/>
      <c r="M297" s="171"/>
      <c r="N297" s="171"/>
      <c r="O297" s="171"/>
      <c r="P297" s="171"/>
    </row>
    <row r="298" spans="1:16" ht="12.75">
      <c r="A298" s="522" t="s">
        <v>611</v>
      </c>
      <c r="B298" s="298"/>
      <c r="C298" s="299">
        <f>C210-B210</f>
        <v>0</v>
      </c>
      <c r="D298" s="299">
        <f aca="true" t="shared" si="61" ref="D298:J298">D210-C210</f>
        <v>0</v>
      </c>
      <c r="E298" s="299">
        <f t="shared" si="61"/>
        <v>0</v>
      </c>
      <c r="F298" s="299">
        <f t="shared" si="61"/>
        <v>0</v>
      </c>
      <c r="G298" s="299">
        <f t="shared" si="61"/>
        <v>0</v>
      </c>
      <c r="H298" s="299">
        <f t="shared" si="61"/>
        <v>0</v>
      </c>
      <c r="I298" s="299">
        <f t="shared" si="61"/>
        <v>0</v>
      </c>
      <c r="J298" s="299">
        <f t="shared" si="61"/>
        <v>0</v>
      </c>
      <c r="K298" s="17">
        <v>16</v>
      </c>
      <c r="L298" s="171"/>
      <c r="M298" s="171"/>
      <c r="N298" s="171"/>
      <c r="O298" s="282"/>
      <c r="P298" s="282"/>
    </row>
    <row r="299" spans="1:16" ht="12.75">
      <c r="A299" s="522" t="s">
        <v>612</v>
      </c>
      <c r="B299" s="298"/>
      <c r="C299" s="299">
        <f>C213-B213</f>
        <v>0</v>
      </c>
      <c r="D299" s="299">
        <f aca="true" t="shared" si="62" ref="D299:J299">D213-C213</f>
        <v>0</v>
      </c>
      <c r="E299" s="299">
        <f t="shared" si="62"/>
        <v>0</v>
      </c>
      <c r="F299" s="299">
        <f t="shared" si="62"/>
        <v>0</v>
      </c>
      <c r="G299" s="299">
        <f t="shared" si="62"/>
        <v>0</v>
      </c>
      <c r="H299" s="299">
        <f t="shared" si="62"/>
        <v>0</v>
      </c>
      <c r="I299" s="299">
        <f t="shared" si="62"/>
        <v>0</v>
      </c>
      <c r="J299" s="299">
        <f t="shared" si="62"/>
        <v>0</v>
      </c>
      <c r="K299" s="17">
        <v>17</v>
      </c>
      <c r="L299" s="171"/>
      <c r="M299" s="171"/>
      <c r="N299" s="171"/>
      <c r="O299" s="282"/>
      <c r="P299" s="282"/>
    </row>
    <row r="300" spans="1:16" ht="12.75">
      <c r="A300" s="214" t="s">
        <v>180</v>
      </c>
      <c r="B300" s="298"/>
      <c r="C300" s="300">
        <f>SUM(C283:C299)</f>
        <v>9668</v>
      </c>
      <c r="D300" s="300">
        <f aca="true" t="shared" si="63" ref="D300:J300">SUM(D283:D299)</f>
        <v>7502</v>
      </c>
      <c r="E300" s="300">
        <f t="shared" si="63"/>
        <v>9104.259783352081</v>
      </c>
      <c r="F300" s="300">
        <f t="shared" si="63"/>
        <v>9850.259050283235</v>
      </c>
      <c r="G300" s="300">
        <f t="shared" si="63"/>
        <v>10344.020821923716</v>
      </c>
      <c r="H300" s="300">
        <f t="shared" si="63"/>
        <v>11221.683084640259</v>
      </c>
      <c r="I300" s="300">
        <f t="shared" si="63"/>
        <v>11113.736447530686</v>
      </c>
      <c r="J300" s="300">
        <f t="shared" si="63"/>
        <v>8764.380050608102</v>
      </c>
      <c r="K300" s="17">
        <v>18</v>
      </c>
      <c r="L300" s="171"/>
      <c r="M300" s="171"/>
      <c r="N300" s="171"/>
      <c r="O300" s="171"/>
      <c r="P300" s="171"/>
    </row>
    <row r="301" spans="1:16" ht="12.75">
      <c r="A301" s="522" t="s">
        <v>660</v>
      </c>
      <c r="B301" s="298"/>
      <c r="C301" s="299">
        <f>B148-C148</f>
        <v>-2099</v>
      </c>
      <c r="D301" s="299">
        <f aca="true" t="shared" si="64" ref="D301:J301">C148-D148</f>
        <v>-1022</v>
      </c>
      <c r="E301" s="299">
        <f t="shared" si="64"/>
        <v>-3000</v>
      </c>
      <c r="F301" s="299">
        <f t="shared" si="64"/>
        <v>-3410.1258343507216</v>
      </c>
      <c r="G301" s="299">
        <f t="shared" si="64"/>
        <v>-3553.81433387733</v>
      </c>
      <c r="H301" s="299">
        <f t="shared" si="64"/>
        <v>-3776.2610041841035</v>
      </c>
      <c r="I301" s="299">
        <f t="shared" si="64"/>
        <v>-3864.1914814301563</v>
      </c>
      <c r="J301" s="299">
        <f t="shared" si="64"/>
        <v>-1612.9917796152731</v>
      </c>
      <c r="K301" s="17">
        <v>19</v>
      </c>
      <c r="L301" s="171"/>
      <c r="M301" s="171"/>
      <c r="N301" s="171"/>
      <c r="O301" s="171"/>
      <c r="P301" s="171"/>
    </row>
    <row r="302" spans="1:16" ht="12.75">
      <c r="A302" s="522" t="s">
        <v>616</v>
      </c>
      <c r="B302" s="298"/>
      <c r="C302" s="216">
        <f>B121-C121</f>
        <v>68</v>
      </c>
      <c r="D302" s="299">
        <f aca="true" t="shared" si="65" ref="D302:J302">C121-D121</f>
        <v>36</v>
      </c>
      <c r="E302" s="299">
        <f t="shared" si="65"/>
        <v>28.980000000000018</v>
      </c>
      <c r="F302" s="299">
        <f t="shared" si="65"/>
        <v>26.371800000000007</v>
      </c>
      <c r="G302" s="299">
        <f t="shared" si="65"/>
        <v>23.99833799999999</v>
      </c>
      <c r="H302" s="299">
        <f t="shared" si="65"/>
        <v>21.838487579999992</v>
      </c>
      <c r="I302" s="299">
        <f t="shared" si="65"/>
        <v>19.873023697799994</v>
      </c>
      <c r="J302" s="299">
        <f t="shared" si="65"/>
        <v>-6.028150521665992</v>
      </c>
      <c r="K302" s="17">
        <v>20</v>
      </c>
      <c r="L302" s="171"/>
      <c r="M302" s="171"/>
      <c r="N302" s="171"/>
      <c r="O302" s="282"/>
      <c r="P302" s="282"/>
    </row>
    <row r="303" spans="1:16" ht="12.75">
      <c r="A303" s="522" t="s">
        <v>661</v>
      </c>
      <c r="B303" s="298"/>
      <c r="C303" s="299">
        <f>B145-C145</f>
        <v>-109</v>
      </c>
      <c r="D303" s="299">
        <f aca="true" t="shared" si="66" ref="D303:J303">C145-D145</f>
        <v>-156</v>
      </c>
      <c r="E303" s="299">
        <f t="shared" si="66"/>
        <v>-130.6400000000001</v>
      </c>
      <c r="F303" s="299">
        <f t="shared" si="66"/>
        <v>-141.09120000000007</v>
      </c>
      <c r="G303" s="299">
        <f t="shared" si="66"/>
        <v>-152.37849600000027</v>
      </c>
      <c r="H303" s="299">
        <f t="shared" si="66"/>
        <v>-164.56877568000027</v>
      </c>
      <c r="I303" s="299">
        <f t="shared" si="66"/>
        <v>-177.73427773440017</v>
      </c>
      <c r="J303" s="299">
        <f t="shared" si="66"/>
        <v>-71.98238248243206</v>
      </c>
      <c r="K303" s="17">
        <v>21</v>
      </c>
      <c r="L303" s="171"/>
      <c r="M303" s="171"/>
      <c r="N303" s="171"/>
      <c r="O303" s="171"/>
      <c r="P303" s="171"/>
    </row>
    <row r="304" spans="1:16" ht="12.75">
      <c r="A304" s="522" t="s">
        <v>662</v>
      </c>
      <c r="B304" s="298"/>
      <c r="C304" s="299">
        <f aca="true" t="shared" si="67" ref="C304:J304">B154-C154-C285</f>
        <v>4</v>
      </c>
      <c r="D304" s="299">
        <f t="shared" si="67"/>
        <v>-12</v>
      </c>
      <c r="E304" s="299">
        <f t="shared" si="67"/>
        <v>0</v>
      </c>
      <c r="F304" s="299">
        <f t="shared" si="67"/>
        <v>0</v>
      </c>
      <c r="G304" s="299">
        <f t="shared" si="67"/>
        <v>0</v>
      </c>
      <c r="H304" s="299">
        <f t="shared" si="67"/>
        <v>0</v>
      </c>
      <c r="I304" s="299">
        <f t="shared" si="67"/>
        <v>0</v>
      </c>
      <c r="J304" s="299">
        <f t="shared" si="67"/>
        <v>-114.36000000000004</v>
      </c>
      <c r="K304" s="17">
        <v>22</v>
      </c>
      <c r="L304" s="171"/>
      <c r="M304" s="171"/>
      <c r="N304" s="171"/>
      <c r="O304" s="279"/>
      <c r="P304" s="279"/>
    </row>
    <row r="305" spans="1:16" ht="12.75">
      <c r="A305" s="522" t="s">
        <v>663</v>
      </c>
      <c r="B305" s="298"/>
      <c r="C305" s="299">
        <f>B157-C157+B160-C160</f>
        <v>-4913</v>
      </c>
      <c r="D305" s="299">
        <f aca="true" t="shared" si="68" ref="D305:J305">C157-D157+C160-D160</f>
        <v>-358</v>
      </c>
      <c r="E305" s="299">
        <f t="shared" si="68"/>
        <v>-1310.6046027453758</v>
      </c>
      <c r="F305" s="299">
        <f t="shared" si="68"/>
        <v>-1378.133269956983</v>
      </c>
      <c r="G305" s="299">
        <f t="shared" si="68"/>
        <v>-1449.6302228027907</v>
      </c>
      <c r="H305" s="299">
        <f t="shared" si="68"/>
        <v>-2244.197811939888</v>
      </c>
      <c r="I305" s="299">
        <f t="shared" si="68"/>
        <v>-887.1042410583068</v>
      </c>
      <c r="J305" s="299">
        <f t="shared" si="68"/>
        <v>-1169.5401044551</v>
      </c>
      <c r="K305" s="17">
        <v>23</v>
      </c>
      <c r="L305" s="171"/>
      <c r="M305" s="171"/>
      <c r="N305" s="171"/>
      <c r="O305" s="282"/>
      <c r="P305" s="282"/>
    </row>
    <row r="306" spans="1:16" ht="12.75">
      <c r="A306" s="522" t="s">
        <v>664</v>
      </c>
      <c r="B306" s="298"/>
      <c r="C306" s="299">
        <f>B163-C163</f>
        <v>0</v>
      </c>
      <c r="D306" s="299">
        <f aca="true" t="shared" si="69" ref="D306:J306">C163-D163</f>
        <v>0</v>
      </c>
      <c r="E306" s="299">
        <f t="shared" si="69"/>
        <v>0</v>
      </c>
      <c r="F306" s="299">
        <f t="shared" si="69"/>
        <v>0</v>
      </c>
      <c r="G306" s="299">
        <f t="shared" si="69"/>
        <v>0</v>
      </c>
      <c r="H306" s="299">
        <f t="shared" si="69"/>
        <v>0</v>
      </c>
      <c r="I306" s="299">
        <f t="shared" si="69"/>
        <v>0</v>
      </c>
      <c r="J306" s="299">
        <f t="shared" si="69"/>
        <v>0</v>
      </c>
      <c r="K306" s="17">
        <v>24</v>
      </c>
      <c r="L306" s="171"/>
      <c r="M306" s="171"/>
      <c r="N306" s="171"/>
      <c r="O306" s="282"/>
      <c r="P306" s="282"/>
    </row>
    <row r="307" spans="1:16" ht="12.75">
      <c r="A307" s="522" t="s">
        <v>665</v>
      </c>
      <c r="B307" s="298"/>
      <c r="C307" s="299">
        <f>B166-C166</f>
        <v>668</v>
      </c>
      <c r="D307" s="299">
        <f aca="true" t="shared" si="70" ref="D307:J307">C166-D166</f>
        <v>-632</v>
      </c>
      <c r="E307" s="299">
        <f t="shared" si="70"/>
        <v>-68.30929870213185</v>
      </c>
      <c r="F307" s="299">
        <f t="shared" si="70"/>
        <v>-71.82892307232828</v>
      </c>
      <c r="G307" s="299">
        <f t="shared" si="70"/>
        <v>-75.5553762665304</v>
      </c>
      <c r="H307" s="299">
        <f t="shared" si="70"/>
        <v>-116.96859477019188</v>
      </c>
      <c r="I307" s="299">
        <f t="shared" si="70"/>
        <v>-46.236270233939194</v>
      </c>
      <c r="J307" s="299">
        <f t="shared" si="70"/>
        <v>-60.95695389135358</v>
      </c>
      <c r="K307" s="17">
        <v>25</v>
      </c>
      <c r="L307" s="171"/>
      <c r="M307" s="171"/>
      <c r="N307" s="171"/>
      <c r="O307" s="282"/>
      <c r="P307" s="282"/>
    </row>
    <row r="308" spans="1:16" ht="12.75">
      <c r="A308" s="214" t="s">
        <v>530</v>
      </c>
      <c r="B308" s="298"/>
      <c r="C308" s="300">
        <f>SUM(C301:C307)</f>
        <v>-6381</v>
      </c>
      <c r="D308" s="300">
        <f aca="true" t="shared" si="71" ref="D308:J308">SUM(D301:D307)</f>
        <v>-2144</v>
      </c>
      <c r="E308" s="300">
        <f t="shared" si="71"/>
        <v>-4480.5739014475075</v>
      </c>
      <c r="F308" s="300">
        <f t="shared" si="71"/>
        <v>-4974.807427380033</v>
      </c>
      <c r="G308" s="300">
        <f t="shared" si="71"/>
        <v>-5207.380090946651</v>
      </c>
      <c r="H308" s="300">
        <f t="shared" si="71"/>
        <v>-6280.157698994183</v>
      </c>
      <c r="I308" s="300">
        <f t="shared" si="71"/>
        <v>-4955.393246759002</v>
      </c>
      <c r="J308" s="300">
        <f t="shared" si="71"/>
        <v>-3035.8593709658253</v>
      </c>
      <c r="K308" s="17">
        <v>26</v>
      </c>
      <c r="L308" s="171"/>
      <c r="M308" s="171"/>
      <c r="N308" s="171"/>
      <c r="O308" s="171"/>
      <c r="P308" s="171"/>
    </row>
    <row r="309" spans="1:16" ht="12.75">
      <c r="A309" s="522" t="s">
        <v>666</v>
      </c>
      <c r="B309" s="298"/>
      <c r="C309" s="299">
        <f>C180+C183-B180-B183</f>
        <v>1307</v>
      </c>
      <c r="D309" s="299">
        <f aca="true" t="shared" si="72" ref="D309:J309">D180+D183-C180-C183</f>
        <v>-1390</v>
      </c>
      <c r="E309" s="299">
        <f t="shared" si="72"/>
        <v>127.82985961782742</v>
      </c>
      <c r="F309" s="299">
        <f t="shared" si="72"/>
        <v>226.22603919967605</v>
      </c>
      <c r="G309" s="299">
        <f t="shared" si="72"/>
        <v>232.6474924706181</v>
      </c>
      <c r="H309" s="299">
        <f t="shared" si="72"/>
        <v>320.3230721038344</v>
      </c>
      <c r="I309" s="299">
        <f t="shared" si="72"/>
        <v>169.89710438409656</v>
      </c>
      <c r="J309" s="299">
        <f t="shared" si="72"/>
        <v>176.7577070332818</v>
      </c>
      <c r="K309" s="17">
        <v>27</v>
      </c>
      <c r="L309" s="171"/>
      <c r="M309" s="171"/>
      <c r="N309" s="171"/>
      <c r="O309" s="171"/>
      <c r="P309" s="171"/>
    </row>
    <row r="310" spans="1:16" ht="12.75">
      <c r="A310" s="522" t="s">
        <v>667</v>
      </c>
      <c r="B310" s="298"/>
      <c r="C310" s="299">
        <f>C201-B201</f>
        <v>569</v>
      </c>
      <c r="D310" s="299">
        <f aca="true" t="shared" si="73" ref="D310:J310">D201-C201</f>
        <v>2976</v>
      </c>
      <c r="E310" s="299">
        <f t="shared" si="73"/>
        <v>625.0521733836176</v>
      </c>
      <c r="F310" s="299">
        <f t="shared" si="73"/>
        <v>1106.181903824956</v>
      </c>
      <c r="G310" s="299">
        <f t="shared" si="73"/>
        <v>1137.5810099124064</v>
      </c>
      <c r="H310" s="299">
        <f t="shared" si="73"/>
        <v>1566.2900123806176</v>
      </c>
      <c r="I310" s="299">
        <f t="shared" si="73"/>
        <v>830.7492057360687</v>
      </c>
      <c r="J310" s="299">
        <f t="shared" si="73"/>
        <v>864.2956291571318</v>
      </c>
      <c r="K310" s="17">
        <v>28</v>
      </c>
      <c r="L310" s="171"/>
      <c r="M310" s="171"/>
      <c r="N310" s="171"/>
      <c r="O310" s="282"/>
      <c r="P310" s="282"/>
    </row>
    <row r="311" spans="1:16" ht="12.75">
      <c r="A311" s="522" t="s">
        <v>757</v>
      </c>
      <c r="B311" s="298"/>
      <c r="C311" s="299">
        <f>C221-B221</f>
        <v>-7</v>
      </c>
      <c r="D311" s="299">
        <f aca="true" t="shared" si="74" ref="D311:J311">D221-C221</f>
        <v>-7</v>
      </c>
      <c r="E311" s="299">
        <f t="shared" si="74"/>
        <v>123</v>
      </c>
      <c r="F311" s="299">
        <f t="shared" si="74"/>
        <v>0</v>
      </c>
      <c r="G311" s="299">
        <f t="shared" si="74"/>
        <v>0</v>
      </c>
      <c r="H311" s="299">
        <f t="shared" si="74"/>
        <v>0</v>
      </c>
      <c r="I311" s="299">
        <f t="shared" si="74"/>
        <v>0</v>
      </c>
      <c r="J311" s="299">
        <f t="shared" si="74"/>
        <v>0</v>
      </c>
      <c r="K311" s="17">
        <v>29</v>
      </c>
      <c r="L311" s="171"/>
      <c r="M311" s="171"/>
      <c r="N311" s="171"/>
      <c r="O311" s="282"/>
      <c r="P311" s="282"/>
    </row>
    <row r="312" spans="1:16" ht="12.75">
      <c r="A312" s="522" t="s">
        <v>668</v>
      </c>
      <c r="B312" s="298"/>
      <c r="C312" s="299">
        <f>C225-B225</f>
        <v>-71</v>
      </c>
      <c r="D312" s="299">
        <f aca="true" t="shared" si="75" ref="D312:J312">D225-C225</f>
        <v>-283</v>
      </c>
      <c r="E312" s="299">
        <f t="shared" si="75"/>
        <v>44.895215011568325</v>
      </c>
      <c r="F312" s="299">
        <f t="shared" si="75"/>
        <v>151.9767209088477</v>
      </c>
      <c r="G312" s="299">
        <f t="shared" si="75"/>
        <v>154.0645537138189</v>
      </c>
      <c r="H312" s="299">
        <f t="shared" si="75"/>
        <v>224.56010685855927</v>
      </c>
      <c r="I312" s="299">
        <f t="shared" si="75"/>
        <v>94.11675663070855</v>
      </c>
      <c r="J312" s="299">
        <f t="shared" si="75"/>
        <v>146.20840059370494</v>
      </c>
      <c r="K312" s="17">
        <v>30</v>
      </c>
      <c r="L312" s="171"/>
      <c r="M312" s="171"/>
      <c r="N312" s="171"/>
      <c r="O312" s="171"/>
      <c r="P312" s="171"/>
    </row>
    <row r="313" spans="1:16" ht="12.75">
      <c r="A313" s="522" t="s">
        <v>753</v>
      </c>
      <c r="B313" s="298"/>
      <c r="C313" s="299">
        <f>C231-B231</f>
        <v>-2599</v>
      </c>
      <c r="D313" s="299">
        <f aca="true" t="shared" si="76" ref="D313:J313">D231-C231</f>
        <v>742</v>
      </c>
      <c r="E313" s="299">
        <f t="shared" si="76"/>
        <v>0</v>
      </c>
      <c r="F313" s="299">
        <f t="shared" si="76"/>
        <v>0</v>
      </c>
      <c r="G313" s="299">
        <f t="shared" si="76"/>
        <v>0</v>
      </c>
      <c r="H313" s="299">
        <f t="shared" si="76"/>
        <v>0</v>
      </c>
      <c r="I313" s="299">
        <f t="shared" si="76"/>
        <v>0</v>
      </c>
      <c r="J313" s="299">
        <f t="shared" si="76"/>
        <v>0</v>
      </c>
      <c r="K313" s="17">
        <v>31</v>
      </c>
      <c r="L313" s="171"/>
      <c r="M313" s="171"/>
      <c r="N313" s="171"/>
      <c r="O313" s="171"/>
      <c r="P313" s="171"/>
    </row>
    <row r="314" spans="1:16" ht="12.75">
      <c r="A314" s="522" t="s">
        <v>754</v>
      </c>
      <c r="B314" s="298"/>
      <c r="C314" s="299">
        <f>C234-B234</f>
        <v>-1125</v>
      </c>
      <c r="D314" s="299">
        <f aca="true" t="shared" si="77" ref="D314:J314">D234-C234</f>
        <v>-1588</v>
      </c>
      <c r="E314" s="299">
        <f t="shared" si="77"/>
        <v>-3149.542566070537</v>
      </c>
      <c r="F314" s="299">
        <f t="shared" si="77"/>
        <v>-2623.888959977645</v>
      </c>
      <c r="G314" s="299">
        <f t="shared" si="77"/>
        <v>-2791.7149036718474</v>
      </c>
      <c r="H314" s="299">
        <f t="shared" si="77"/>
        <v>-2851.9937819984625</v>
      </c>
      <c r="I314" s="299">
        <f t="shared" si="77"/>
        <v>-3216.7752690200286</v>
      </c>
      <c r="J314" s="299">
        <f t="shared" si="77"/>
        <v>-1187.3674644221755</v>
      </c>
      <c r="K314" s="17">
        <v>32</v>
      </c>
      <c r="L314" s="171"/>
      <c r="M314" s="171"/>
      <c r="N314" s="171"/>
      <c r="O314" s="282"/>
      <c r="P314" s="282"/>
    </row>
    <row r="315" spans="1:16" ht="12.75">
      <c r="A315" s="203" t="s">
        <v>495</v>
      </c>
      <c r="B315" s="298"/>
      <c r="C315" s="299">
        <f>C228-B228-C93</f>
        <v>-3217</v>
      </c>
      <c r="D315" s="299">
        <f>D228-C228-D93</f>
        <v>-3336</v>
      </c>
      <c r="E315" s="299">
        <f aca="true" t="shared" si="78" ref="E315:J315">E228-D228-E93</f>
        <v>-3449.760932066237</v>
      </c>
      <c r="F315" s="299">
        <f t="shared" si="78"/>
        <v>-3507.134164015408</v>
      </c>
      <c r="G315" s="299">
        <f t="shared" si="78"/>
        <v>-3629.079728907489</v>
      </c>
      <c r="H315" s="299">
        <f t="shared" si="78"/>
        <v>-3834.6964177880136</v>
      </c>
      <c r="I315" s="299">
        <f t="shared" si="78"/>
        <v>-3885.302838520226</v>
      </c>
      <c r="J315" s="299">
        <f t="shared" si="78"/>
        <v>-5535.480497415122</v>
      </c>
      <c r="K315" s="17">
        <v>33</v>
      </c>
      <c r="L315" s="171"/>
      <c r="M315" s="171"/>
      <c r="N315" s="171"/>
      <c r="O315" s="171"/>
      <c r="P315" s="171"/>
    </row>
    <row r="316" spans="1:16" ht="12.75">
      <c r="A316" s="522" t="s">
        <v>755</v>
      </c>
      <c r="B316" s="298"/>
      <c r="C316" s="299">
        <f>C240-B240+C90</f>
        <v>-20</v>
      </c>
      <c r="D316" s="299">
        <f aca="true" t="shared" si="79" ref="D316:J316">D240-C240+D90</f>
        <v>-242</v>
      </c>
      <c r="E316" s="299">
        <f>E240-D240+E90</f>
        <v>-10.5</v>
      </c>
      <c r="F316" s="299">
        <f t="shared" si="79"/>
        <v>-10.5</v>
      </c>
      <c r="G316" s="299">
        <f t="shared" si="79"/>
        <v>-10.5</v>
      </c>
      <c r="H316" s="299">
        <f t="shared" si="79"/>
        <v>-10.5</v>
      </c>
      <c r="I316" s="299">
        <f t="shared" si="79"/>
        <v>-10.5</v>
      </c>
      <c r="J316" s="299">
        <f t="shared" si="79"/>
        <v>-7.664999999999994</v>
      </c>
      <c r="L316" s="171"/>
      <c r="M316" s="171"/>
      <c r="N316" s="171"/>
      <c r="O316" s="171"/>
      <c r="P316" s="171"/>
    </row>
    <row r="317" spans="1:16" ht="12.75">
      <c r="A317" s="214" t="s">
        <v>531</v>
      </c>
      <c r="B317" s="298"/>
      <c r="C317" s="300">
        <f>SUM(C309:C316)</f>
        <v>-5163</v>
      </c>
      <c r="D317" s="300">
        <f aca="true" t="shared" si="80" ref="D317:J317">SUM(D309:D316)</f>
        <v>-3128</v>
      </c>
      <c r="E317" s="300">
        <f t="shared" si="80"/>
        <v>-5689.02625012376</v>
      </c>
      <c r="F317" s="300">
        <f t="shared" si="80"/>
        <v>-4657.138460059573</v>
      </c>
      <c r="G317" s="300">
        <f t="shared" si="80"/>
        <v>-4907.001576482493</v>
      </c>
      <c r="H317" s="300">
        <f t="shared" si="80"/>
        <v>-4586.017008443465</v>
      </c>
      <c r="I317" s="300">
        <f t="shared" si="80"/>
        <v>-6017.815040789381</v>
      </c>
      <c r="J317" s="300">
        <f t="shared" si="80"/>
        <v>-5543.251225053179</v>
      </c>
      <c r="K317" s="17">
        <v>34</v>
      </c>
      <c r="L317" s="171"/>
      <c r="M317" s="171"/>
      <c r="N317" s="171"/>
      <c r="O317" s="279"/>
      <c r="P317" s="279"/>
    </row>
    <row r="318" spans="1:16" ht="13.5" thickBot="1">
      <c r="A318" s="214" t="s">
        <v>370</v>
      </c>
      <c r="B318" s="298"/>
      <c r="C318" s="268">
        <f>C300+C308+C317</f>
        <v>-1876</v>
      </c>
      <c r="D318" s="268">
        <f>D300+D308+D317</f>
        <v>2230</v>
      </c>
      <c r="E318" s="268">
        <f aca="true" t="shared" si="81" ref="E318:J318">E300+E308+E317</f>
        <v>-1065.3403682191865</v>
      </c>
      <c r="F318" s="268">
        <f t="shared" si="81"/>
        <v>218.31316284362947</v>
      </c>
      <c r="G318" s="268">
        <f t="shared" si="81"/>
        <v>229.6391544945718</v>
      </c>
      <c r="H318" s="268">
        <f t="shared" si="81"/>
        <v>355.508377202611</v>
      </c>
      <c r="I318" s="268">
        <f t="shared" si="81"/>
        <v>140.5281599823029</v>
      </c>
      <c r="J318" s="268">
        <f t="shared" si="81"/>
        <v>185.26945458909813</v>
      </c>
      <c r="K318" s="17">
        <v>35</v>
      </c>
      <c r="L318" s="171"/>
      <c r="M318" s="171"/>
      <c r="N318" s="171"/>
      <c r="O318" s="282"/>
      <c r="P318" s="282"/>
    </row>
    <row r="319" spans="1:16" ht="13.5" thickTop="1">
      <c r="A319" s="269" t="s">
        <v>12</v>
      </c>
      <c r="B319" s="215"/>
      <c r="C319" s="301"/>
      <c r="D319" s="301"/>
      <c r="E319" s="259"/>
      <c r="F319" s="259"/>
      <c r="G319" s="259"/>
      <c r="H319" s="259"/>
      <c r="I319" s="259"/>
      <c r="J319" s="259"/>
      <c r="K319" s="252"/>
      <c r="L319" s="252"/>
      <c r="M319" s="252"/>
      <c r="N319" s="252"/>
      <c r="O319" s="282"/>
      <c r="P319" s="282"/>
    </row>
    <row r="320" spans="1:16" ht="12.75">
      <c r="A320" s="269" t="s">
        <v>13</v>
      </c>
      <c r="B320" s="270"/>
      <c r="C320" s="302">
        <f aca="true" t="shared" si="82" ref="C320:J320">C318-(C118-B118)</f>
        <v>0</v>
      </c>
      <c r="D320" s="302">
        <f t="shared" si="82"/>
        <v>0</v>
      </c>
      <c r="E320" s="302">
        <f t="shared" si="82"/>
        <v>-9.094947017729282E-12</v>
      </c>
      <c r="F320" s="302">
        <f t="shared" si="82"/>
        <v>1.2732925824820995E-11</v>
      </c>
      <c r="G320" s="302">
        <f t="shared" si="82"/>
        <v>-9.094947017729282E-12</v>
      </c>
      <c r="H320" s="302">
        <f t="shared" si="82"/>
        <v>1.000444171950221E-11</v>
      </c>
      <c r="I320" s="302">
        <f t="shared" si="82"/>
        <v>1.8189894035458565E-11</v>
      </c>
      <c r="J320" s="302">
        <f t="shared" si="82"/>
        <v>-1.9099388737231493E-11</v>
      </c>
      <c r="K320" s="303"/>
      <c r="L320" s="304" t="s">
        <v>181</v>
      </c>
      <c r="M320" s="303"/>
      <c r="N320" s="303"/>
      <c r="O320" s="282"/>
      <c r="P320" s="282"/>
    </row>
    <row r="321" spans="1:16" ht="12.75">
      <c r="A321" s="269"/>
      <c r="B321" s="171"/>
      <c r="C321" s="171"/>
      <c r="D321" s="171"/>
      <c r="E321" s="171"/>
      <c r="F321" s="171"/>
      <c r="G321" s="171"/>
      <c r="H321" s="171"/>
      <c r="I321" s="171"/>
      <c r="J321" s="171"/>
      <c r="K321" s="303"/>
      <c r="L321" s="303"/>
      <c r="M321" s="303"/>
      <c r="N321" s="303"/>
      <c r="O321" s="171"/>
      <c r="P321" s="171"/>
    </row>
    <row r="322" spans="1:16" ht="12.75">
      <c r="A322" s="203"/>
      <c r="B322" s="171"/>
      <c r="C322" s="171"/>
      <c r="D322" s="171"/>
      <c r="E322" s="171"/>
      <c r="F322" s="171"/>
      <c r="G322" s="171"/>
      <c r="H322" s="171"/>
      <c r="I322" s="171"/>
      <c r="J322" s="171"/>
      <c r="K322" s="171"/>
      <c r="L322" s="171"/>
      <c r="M322" s="171"/>
      <c r="N322" s="171"/>
      <c r="O322" s="171"/>
      <c r="P322" s="171"/>
    </row>
    <row r="323" spans="1:16" ht="12.75">
      <c r="A323" s="181" t="s">
        <v>474</v>
      </c>
      <c r="B323" s="182" t="s">
        <v>28</v>
      </c>
      <c r="C323" s="183"/>
      <c r="D323" s="183"/>
      <c r="E323" s="184"/>
      <c r="F323" s="185"/>
      <c r="G323" s="185"/>
      <c r="H323" s="185"/>
      <c r="I323" s="185"/>
      <c r="J323" s="186"/>
      <c r="K323" s="171"/>
      <c r="L323" s="171"/>
      <c r="M323" s="171"/>
      <c r="N323" s="171"/>
      <c r="O323" s="282"/>
      <c r="P323" s="282"/>
    </row>
    <row r="324" spans="1:16" ht="12.75">
      <c r="A324" s="187" t="str">
        <f>Data!A9</f>
        <v>Analyst Name:</v>
      </c>
      <c r="B324" s="291" t="str">
        <f>Data!B9</f>
        <v>Wahlen, Baginski &amp; Bradshaw</v>
      </c>
      <c r="C324" s="183"/>
      <c r="D324" s="183"/>
      <c r="E324" s="184"/>
      <c r="F324" s="185"/>
      <c r="G324" s="185"/>
      <c r="H324" s="185"/>
      <c r="I324" s="185"/>
      <c r="J324" s="186"/>
      <c r="K324" s="171"/>
      <c r="L324" s="171"/>
      <c r="M324" s="171"/>
      <c r="N324" s="171"/>
      <c r="O324" s="282"/>
      <c r="P324" s="282"/>
    </row>
    <row r="325" spans="1:16" ht="12.75">
      <c r="A325" s="187" t="str">
        <f>Data!A10</f>
        <v>Company Name:</v>
      </c>
      <c r="B325" s="292" t="str">
        <f>Data!B10</f>
        <v>PepsiCo</v>
      </c>
      <c r="C325" s="293"/>
      <c r="D325" s="293"/>
      <c r="E325" s="294"/>
      <c r="F325" s="179"/>
      <c r="G325" s="179"/>
      <c r="H325" s="179"/>
      <c r="I325" s="179"/>
      <c r="J325" s="242"/>
      <c r="K325" s="171"/>
      <c r="L325" s="171"/>
      <c r="M325" s="171"/>
      <c r="N325" s="171"/>
      <c r="O325" s="171"/>
      <c r="P325" s="171"/>
    </row>
    <row r="326" spans="1:16" ht="13.5" thickBot="1">
      <c r="A326" s="203"/>
      <c r="B326" s="296"/>
      <c r="C326" s="296"/>
      <c r="D326" s="296"/>
      <c r="E326" s="305"/>
      <c r="F326" s="305"/>
      <c r="G326" s="305"/>
      <c r="H326" s="305"/>
      <c r="I326" s="305"/>
      <c r="J326" s="305"/>
      <c r="K326" s="171"/>
      <c r="L326" s="171"/>
      <c r="M326" s="171"/>
      <c r="N326" s="171"/>
      <c r="O326" s="171"/>
      <c r="P326" s="171"/>
    </row>
    <row r="327" spans="1:16" ht="13.5" thickTop="1">
      <c r="A327" s="203"/>
      <c r="B327" s="207" t="s">
        <v>482</v>
      </c>
      <c r="C327" s="208"/>
      <c r="D327" s="208"/>
      <c r="E327" s="247" t="s">
        <v>483</v>
      </c>
      <c r="F327" s="248"/>
      <c r="G327" s="248"/>
      <c r="H327" s="248"/>
      <c r="I327" s="248"/>
      <c r="J327" s="247"/>
      <c r="K327" s="171"/>
      <c r="L327" s="171"/>
      <c r="M327" s="171"/>
      <c r="N327" s="171"/>
      <c r="O327" s="282"/>
      <c r="P327" s="282"/>
    </row>
    <row r="328" spans="1:16" ht="12.75">
      <c r="A328" s="203"/>
      <c r="B328" s="212">
        <f>Data!E11</f>
        <v>2010</v>
      </c>
      <c r="C328" s="212">
        <f>Data!F11</f>
        <v>2011</v>
      </c>
      <c r="D328" s="212">
        <f>Data!G11</f>
        <v>2012</v>
      </c>
      <c r="E328" s="213" t="str">
        <f aca="true" t="shared" si="83" ref="E328:J328">E$19</f>
        <v>Year +1</v>
      </c>
      <c r="F328" s="213" t="str">
        <f t="shared" si="83"/>
        <v>Year +2</v>
      </c>
      <c r="G328" s="213" t="str">
        <f t="shared" si="83"/>
        <v>Year +3</v>
      </c>
      <c r="H328" s="213" t="str">
        <f t="shared" si="83"/>
        <v>Year +4</v>
      </c>
      <c r="I328" s="213" t="str">
        <f t="shared" si="83"/>
        <v>Year +5</v>
      </c>
      <c r="J328" s="213" t="str">
        <f t="shared" si="83"/>
        <v>Year +6</v>
      </c>
      <c r="K328" s="306"/>
      <c r="L328" s="306"/>
      <c r="M328" s="306"/>
      <c r="N328" s="306"/>
      <c r="O328" s="171"/>
      <c r="P328" s="171"/>
    </row>
    <row r="329" spans="1:16" ht="12.75">
      <c r="A329" s="307" t="s">
        <v>14</v>
      </c>
      <c r="B329" s="215"/>
      <c r="C329" s="215"/>
      <c r="D329" s="215"/>
      <c r="E329" s="49"/>
      <c r="F329" s="49"/>
      <c r="G329" s="49"/>
      <c r="H329" s="49"/>
      <c r="I329" s="49"/>
      <c r="J329" s="51"/>
      <c r="K329" s="49"/>
      <c r="L329" s="99" t="s">
        <v>7</v>
      </c>
      <c r="M329" s="49"/>
      <c r="N329" s="49"/>
      <c r="O329" s="279"/>
      <c r="P329" s="279"/>
    </row>
    <row r="330" spans="1:16" ht="12.75">
      <c r="A330" s="211" t="s">
        <v>460</v>
      </c>
      <c r="B330" s="215"/>
      <c r="C330" s="215"/>
      <c r="D330" s="215"/>
      <c r="E330" s="49"/>
      <c r="F330" s="49"/>
      <c r="G330" s="49"/>
      <c r="H330" s="49"/>
      <c r="I330" s="49"/>
      <c r="J330" s="51"/>
      <c r="K330" s="49"/>
      <c r="L330" s="49" t="s">
        <v>8</v>
      </c>
      <c r="M330" s="49"/>
      <c r="N330" s="49"/>
      <c r="O330" s="282"/>
      <c r="P330" s="282"/>
    </row>
    <row r="331" spans="1:16" ht="12.75">
      <c r="A331" s="228" t="s">
        <v>29</v>
      </c>
      <c r="B331" s="308">
        <f>Analysis!D158</f>
        <v>0.33785159141376764</v>
      </c>
      <c r="C331" s="308">
        <f>Analysis!E158</f>
        <v>0.14983229018984057</v>
      </c>
      <c r="D331" s="308">
        <f>Analysis!F158</f>
        <v>-0.015217129796703976</v>
      </c>
      <c r="E331" s="309">
        <f aca="true" t="shared" si="84" ref="E331:J331">E21/D21-1</f>
        <v>0.041324439626214016</v>
      </c>
      <c r="F331" s="309">
        <f t="shared" si="84"/>
        <v>0.041729236649385104</v>
      </c>
      <c r="G331" s="309">
        <f t="shared" si="84"/>
        <v>0.04213583501207285</v>
      </c>
      <c r="H331" s="309">
        <f t="shared" si="84"/>
        <v>0.06259377936158916</v>
      </c>
      <c r="I331" s="309">
        <f t="shared" si="84"/>
        <v>0.023285063492335834</v>
      </c>
      <c r="J331" s="309">
        <f t="shared" si="84"/>
        <v>0.030000000000000027</v>
      </c>
      <c r="K331" s="279"/>
      <c r="L331" s="279"/>
      <c r="M331" s="279"/>
      <c r="N331" s="279"/>
      <c r="O331" s="282"/>
      <c r="P331" s="282"/>
    </row>
    <row r="332" spans="1:16" ht="12.75">
      <c r="A332" s="228" t="s">
        <v>15</v>
      </c>
      <c r="B332" s="308">
        <f>Analysis!D181</f>
        <v>0.06289942818701655</v>
      </c>
      <c r="C332" s="308">
        <f>Analysis!E181</f>
        <v>0.01946202531645569</v>
      </c>
      <c r="D332" s="308">
        <f>Analysis!F181</f>
        <v>-0.041129908427750994</v>
      </c>
      <c r="E332" s="309">
        <f aca="true" t="shared" si="85" ref="E332:J332">E87/D87-1</f>
        <v>-0.007362866235703369</v>
      </c>
      <c r="F332" s="309">
        <f t="shared" si="85"/>
        <v>0.03548178541350211</v>
      </c>
      <c r="G332" s="309">
        <f t="shared" si="85"/>
        <v>0.03471355483404892</v>
      </c>
      <c r="H332" s="309">
        <f t="shared" si="85"/>
        <v>0.05656806233417977</v>
      </c>
      <c r="I332" s="309">
        <f t="shared" si="85"/>
        <v>0.013177137707058417</v>
      </c>
      <c r="J332" s="309">
        <f t="shared" si="85"/>
        <v>0.02999999999999936</v>
      </c>
      <c r="K332" s="279"/>
      <c r="L332" s="279"/>
      <c r="M332" s="279"/>
      <c r="N332" s="279"/>
      <c r="O332" s="282"/>
      <c r="P332" s="282"/>
    </row>
    <row r="333" spans="1:16" ht="12.75">
      <c r="A333" s="228" t="s">
        <v>16</v>
      </c>
      <c r="B333" s="308">
        <f>Analysis!D261</f>
        <v>0.7103242320819112</v>
      </c>
      <c r="C333" s="308">
        <f>Analysis!E261</f>
        <v>0.06938799465907586</v>
      </c>
      <c r="D333" s="308">
        <f>Analysis!F261</f>
        <v>0.02409374056694391</v>
      </c>
      <c r="E333" s="309">
        <f aca="true" t="shared" si="86" ref="E333:J333">E169/D169-1</f>
        <v>0.01654825744918531</v>
      </c>
      <c r="F333" s="309">
        <f t="shared" si="86"/>
        <v>0.03576852645645534</v>
      </c>
      <c r="G333" s="309">
        <f t="shared" si="86"/>
        <v>0.03500773391207468</v>
      </c>
      <c r="H333" s="309">
        <f t="shared" si="86"/>
        <v>0.04930038154639371</v>
      </c>
      <c r="I333" s="309">
        <f t="shared" si="86"/>
        <v>0.019691771869818187</v>
      </c>
      <c r="J333" s="309">
        <f t="shared" si="86"/>
        <v>0.030000000000000027</v>
      </c>
      <c r="K333" s="279"/>
      <c r="L333" s="279"/>
      <c r="M333" s="279"/>
      <c r="N333" s="279"/>
      <c r="O333" s="171"/>
      <c r="P333" s="171"/>
    </row>
    <row r="334" spans="1:16" ht="12.75">
      <c r="A334" s="228"/>
      <c r="B334" s="215"/>
      <c r="C334" s="215"/>
      <c r="D334" s="215"/>
      <c r="E334" s="310"/>
      <c r="F334" s="310"/>
      <c r="G334" s="310"/>
      <c r="H334" s="310"/>
      <c r="I334" s="310"/>
      <c r="J334" s="310"/>
      <c r="K334" s="171"/>
      <c r="L334" s="171"/>
      <c r="M334" s="171"/>
      <c r="N334" s="171"/>
      <c r="O334" s="171"/>
      <c r="P334" s="171"/>
    </row>
    <row r="335" spans="1:16" ht="12.75">
      <c r="A335" s="311" t="s">
        <v>170</v>
      </c>
      <c r="B335" s="215"/>
      <c r="C335" s="215"/>
      <c r="D335" s="215"/>
      <c r="E335" s="97"/>
      <c r="F335" s="97"/>
      <c r="G335" s="97"/>
      <c r="H335" s="97"/>
      <c r="I335" s="97"/>
      <c r="J335" s="97"/>
      <c r="K335" s="99"/>
      <c r="L335" s="99"/>
      <c r="M335" s="99"/>
      <c r="N335" s="99"/>
      <c r="O335" s="282"/>
      <c r="P335" s="282"/>
    </row>
    <row r="336" spans="1:16" ht="12.75">
      <c r="A336" s="228" t="s">
        <v>439</v>
      </c>
      <c r="B336" s="308">
        <f>Analysis!D24</f>
        <v>0.1197301082333414</v>
      </c>
      <c r="C336" s="308">
        <f>Analysis!E24</f>
        <v>0.10553350174425598</v>
      </c>
      <c r="D336" s="308">
        <f>Analysis!F24</f>
        <v>0.10380428143895438</v>
      </c>
      <c r="E336" s="309">
        <f aca="true" t="shared" si="87" ref="E336:J336">(E87+(1+(E75/E71))*-E62)/E21</f>
        <v>0.10167248676379163</v>
      </c>
      <c r="F336" s="309">
        <f t="shared" si="87"/>
        <v>0.10107138593228403</v>
      </c>
      <c r="G336" s="309">
        <f t="shared" si="87"/>
        <v>0.10046584168982997</v>
      </c>
      <c r="H336" s="309">
        <f t="shared" si="87"/>
        <v>0.09985124495206826</v>
      </c>
      <c r="I336" s="309">
        <f t="shared" si="87"/>
        <v>0.09919986350736729</v>
      </c>
      <c r="J336" s="309">
        <f t="shared" si="87"/>
        <v>0.09919986350736722</v>
      </c>
      <c r="K336" s="279"/>
      <c r="L336" s="279"/>
      <c r="M336" s="279"/>
      <c r="N336" s="279"/>
      <c r="O336" s="282"/>
      <c r="P336" s="282"/>
    </row>
    <row r="337" spans="1:16" ht="12.75">
      <c r="A337" s="228" t="s">
        <v>440</v>
      </c>
      <c r="B337" s="312">
        <f>Analysis!D25</f>
        <v>1.0710641568133628</v>
      </c>
      <c r="C337" s="312">
        <f>Analysis!E25</f>
        <v>0.9430850498103308</v>
      </c>
      <c r="D337" s="312">
        <f>Analysis!F25</f>
        <v>0.8879067245119305</v>
      </c>
      <c r="E337" s="313">
        <f aca="true" t="shared" si="88" ref="E337:J337">E21/((E169+D169)/2)</f>
        <v>0.9062242868795172</v>
      </c>
      <c r="F337" s="313">
        <f t="shared" si="88"/>
        <v>0.9199045640545763</v>
      </c>
      <c r="G337" s="313">
        <f t="shared" si="88"/>
        <v>0.9259056303675025</v>
      </c>
      <c r="H337" s="313">
        <f t="shared" si="88"/>
        <v>0.9439540243236639</v>
      </c>
      <c r="I337" s="313">
        <f t="shared" si="88"/>
        <v>0.934045798407393</v>
      </c>
      <c r="J337" s="313">
        <f t="shared" si="88"/>
        <v>0.9386972364414113</v>
      </c>
      <c r="K337" s="282"/>
      <c r="L337" s="282"/>
      <c r="M337" s="282"/>
      <c r="N337" s="282"/>
      <c r="O337" s="171"/>
      <c r="P337" s="171"/>
    </row>
    <row r="338" spans="1:16" ht="12.75">
      <c r="A338" s="314" t="s">
        <v>441</v>
      </c>
      <c r="B338" s="308">
        <f>Analysis!D26</f>
        <v>0.12823862742011646</v>
      </c>
      <c r="C338" s="308">
        <f>Analysis!E26</f>
        <v>0.09952706774914027</v>
      </c>
      <c r="D338" s="308">
        <f>Analysis!F26</f>
        <v>0.09216851952277658</v>
      </c>
      <c r="E338" s="309">
        <f aca="true" t="shared" si="89" ref="E338:J338">(E87+(1+(E75/E71))*-E62)/((E169+D169)/2)</f>
        <v>0.09213807681278421</v>
      </c>
      <c r="F338" s="309">
        <f t="shared" si="89"/>
        <v>0.09297602921442959</v>
      </c>
      <c r="G338" s="309">
        <f t="shared" si="89"/>
        <v>0.09302188848022373</v>
      </c>
      <c r="H338" s="309">
        <f t="shared" si="89"/>
        <v>0.09425498450623276</v>
      </c>
      <c r="I338" s="309">
        <f t="shared" si="89"/>
        <v>0.09265721571164329</v>
      </c>
      <c r="J338" s="309">
        <f t="shared" si="89"/>
        <v>0.09311863772973082</v>
      </c>
      <c r="K338" s="279"/>
      <c r="L338" s="279"/>
      <c r="M338" s="279"/>
      <c r="N338" s="279"/>
      <c r="O338" s="171"/>
      <c r="P338" s="171"/>
    </row>
    <row r="339" spans="1:16" ht="12.75">
      <c r="A339" s="314"/>
      <c r="B339" s="308"/>
      <c r="C339" s="308"/>
      <c r="D339" s="308"/>
      <c r="E339" s="309"/>
      <c r="F339" s="309"/>
      <c r="G339" s="309"/>
      <c r="H339" s="309"/>
      <c r="I339" s="309"/>
      <c r="J339" s="309"/>
      <c r="K339" s="279"/>
      <c r="L339" s="279"/>
      <c r="M339" s="279"/>
      <c r="N339" s="279"/>
      <c r="O339" s="282"/>
      <c r="P339" s="282"/>
    </row>
    <row r="340" spans="1:16" ht="12.75">
      <c r="A340" s="311" t="s">
        <v>171</v>
      </c>
      <c r="B340" s="215"/>
      <c r="C340" s="215"/>
      <c r="D340" s="215"/>
      <c r="E340" s="97"/>
      <c r="F340" s="97"/>
      <c r="G340" s="97"/>
      <c r="H340" s="97"/>
      <c r="I340" s="97"/>
      <c r="J340" s="97"/>
      <c r="K340" s="279"/>
      <c r="L340" s="279"/>
      <c r="M340" s="279"/>
      <c r="N340" s="279"/>
      <c r="O340" s="171"/>
      <c r="P340" s="171"/>
    </row>
    <row r="341" spans="1:16" ht="12.75">
      <c r="A341" s="228" t="s">
        <v>439</v>
      </c>
      <c r="B341" s="308">
        <f>Analysis!D29</f>
        <v>0.12586794149175282</v>
      </c>
      <c r="C341" s="308">
        <f>Analysis!E29</f>
        <v>0.11443522194153735</v>
      </c>
      <c r="D341" s="308">
        <f>Analysis!F29</f>
        <v>0.1080185366151591</v>
      </c>
      <c r="E341" s="309">
        <f aca="true" t="shared" si="90" ref="E341:J341">(E71-E62-E52-E68)*(1+(E75/E71))/E21</f>
        <v>0.10167248676379165</v>
      </c>
      <c r="F341" s="309">
        <f t="shared" si="90"/>
        <v>0.10107138593228404</v>
      </c>
      <c r="G341" s="309">
        <f t="shared" si="90"/>
        <v>0.10046584168982997</v>
      </c>
      <c r="H341" s="309">
        <f t="shared" si="90"/>
        <v>0.09985124495206825</v>
      </c>
      <c r="I341" s="309">
        <f t="shared" si="90"/>
        <v>0.0991998635073673</v>
      </c>
      <c r="J341" s="309">
        <f t="shared" si="90"/>
        <v>0.0991998635073672</v>
      </c>
      <c r="K341" s="279"/>
      <c r="L341" s="279"/>
      <c r="M341" s="279"/>
      <c r="N341" s="279"/>
      <c r="O341" s="279"/>
      <c r="P341" s="279"/>
    </row>
    <row r="342" spans="1:16" ht="12.75">
      <c r="A342" s="228" t="s">
        <v>440</v>
      </c>
      <c r="B342" s="312">
        <f>Analysis!D30</f>
        <v>1.0710641568133628</v>
      </c>
      <c r="C342" s="312">
        <f>Analysis!E30</f>
        <v>0.9430850498103308</v>
      </c>
      <c r="D342" s="312">
        <f>Analysis!F30</f>
        <v>0.8879067245119305</v>
      </c>
      <c r="E342" s="313">
        <f aca="true" t="shared" si="91" ref="E342:J342">E21/((E169+D169)/2)</f>
        <v>0.9062242868795172</v>
      </c>
      <c r="F342" s="313">
        <f t="shared" si="91"/>
        <v>0.9199045640545763</v>
      </c>
      <c r="G342" s="313">
        <f t="shared" si="91"/>
        <v>0.9259056303675025</v>
      </c>
      <c r="H342" s="313">
        <f t="shared" si="91"/>
        <v>0.9439540243236639</v>
      </c>
      <c r="I342" s="313">
        <f t="shared" si="91"/>
        <v>0.934045798407393</v>
      </c>
      <c r="J342" s="313">
        <f t="shared" si="91"/>
        <v>0.9386972364414113</v>
      </c>
      <c r="K342" s="279"/>
      <c r="L342" s="279"/>
      <c r="M342" s="279"/>
      <c r="N342" s="279"/>
      <c r="O342" s="282"/>
      <c r="P342" s="282"/>
    </row>
    <row r="343" spans="1:16" ht="12.75">
      <c r="A343" s="314" t="s">
        <v>441</v>
      </c>
      <c r="B343" s="308">
        <f>Analysis!D31</f>
        <v>0.13481264062369794</v>
      </c>
      <c r="C343" s="308">
        <f>Analysis!E31</f>
        <v>0.10792214698479101</v>
      </c>
      <c r="D343" s="308">
        <f>Analysis!F31</f>
        <v>0.09591038503253796</v>
      </c>
      <c r="E343" s="309">
        <f aca="true" t="shared" si="92" ref="E343:J343">(E71-E62-E52-E68)*(1+(E75/E71))/((E169+D169)/2)</f>
        <v>0.09213807681278423</v>
      </c>
      <c r="F343" s="309">
        <f t="shared" si="92"/>
        <v>0.0929760292144296</v>
      </c>
      <c r="G343" s="309">
        <f t="shared" si="92"/>
        <v>0.09302188848022373</v>
      </c>
      <c r="H343" s="309">
        <f t="shared" si="92"/>
        <v>0.09425498450623275</v>
      </c>
      <c r="I343" s="309">
        <f t="shared" si="92"/>
        <v>0.09265721571164329</v>
      </c>
      <c r="J343" s="309">
        <f t="shared" si="92"/>
        <v>0.0931186377297308</v>
      </c>
      <c r="K343" s="279"/>
      <c r="L343" s="279"/>
      <c r="M343" s="279"/>
      <c r="N343" s="279"/>
      <c r="O343" s="282"/>
      <c r="P343" s="282"/>
    </row>
    <row r="344" spans="1:16" ht="12.75">
      <c r="A344" s="314"/>
      <c r="B344" s="215"/>
      <c r="C344" s="215"/>
      <c r="D344" s="215"/>
      <c r="E344" s="97"/>
      <c r="F344" s="97"/>
      <c r="G344" s="97"/>
      <c r="H344" s="97"/>
      <c r="I344" s="97"/>
      <c r="J344" s="97"/>
      <c r="K344" s="99"/>
      <c r="L344" s="99"/>
      <c r="M344" s="99"/>
      <c r="N344" s="99"/>
      <c r="O344" s="282"/>
      <c r="P344" s="282"/>
    </row>
    <row r="345" spans="1:16" ht="12.75">
      <c r="A345" s="311" t="s">
        <v>172</v>
      </c>
      <c r="B345" s="215"/>
      <c r="C345" s="215"/>
      <c r="D345" s="215"/>
      <c r="E345" s="97"/>
      <c r="F345" s="97"/>
      <c r="G345" s="97"/>
      <c r="H345" s="97"/>
      <c r="I345" s="97"/>
      <c r="J345" s="97"/>
      <c r="K345" s="99"/>
      <c r="L345" s="99"/>
      <c r="M345" s="99"/>
      <c r="N345" s="99"/>
      <c r="O345" s="171"/>
      <c r="P345" s="171"/>
    </row>
    <row r="346" spans="1:16" ht="12.75">
      <c r="A346" s="228" t="s">
        <v>442</v>
      </c>
      <c r="B346" s="308">
        <f>Analysis!D34</f>
        <v>0.10925343199972337</v>
      </c>
      <c r="C346" s="308">
        <f>Analysis!E34</f>
        <v>0.0968663539035246</v>
      </c>
      <c r="D346" s="308">
        <f>Analysis!F34</f>
        <v>0.09431686312832102</v>
      </c>
      <c r="E346" s="309">
        <f aca="true" t="shared" si="93" ref="E346:J346">(E87-E258)/E21</f>
        <v>0.08952182662453137</v>
      </c>
      <c r="F346" s="309">
        <f t="shared" si="93"/>
        <v>0.08990318196376855</v>
      </c>
      <c r="G346" s="309">
        <f t="shared" si="93"/>
        <v>0.08926287521774515</v>
      </c>
      <c r="H346" s="309">
        <f t="shared" si="93"/>
        <v>0.08875668664638137</v>
      </c>
      <c r="I346" s="309">
        <f t="shared" si="93"/>
        <v>0.08787995538783364</v>
      </c>
      <c r="J346" s="309">
        <f t="shared" si="93"/>
        <v>0.08787995538783358</v>
      </c>
      <c r="K346" s="279"/>
      <c r="L346" s="279"/>
      <c r="M346" s="279"/>
      <c r="N346" s="279"/>
      <c r="O346" s="171"/>
      <c r="P346" s="171"/>
    </row>
    <row r="347" spans="1:16" ht="12.75">
      <c r="A347" s="228" t="s">
        <v>440</v>
      </c>
      <c r="B347" s="315">
        <f>Analysis!D35</f>
        <v>1.0710641568133628</v>
      </c>
      <c r="C347" s="315">
        <f>Analysis!E35</f>
        <v>0.9430850498103308</v>
      </c>
      <c r="D347" s="315">
        <f>Analysis!F35</f>
        <v>0.8879067245119305</v>
      </c>
      <c r="E347" s="313">
        <f aca="true" t="shared" si="94" ref="E347:J347">E21/((E169+D169)/2)</f>
        <v>0.9062242868795172</v>
      </c>
      <c r="F347" s="313">
        <f t="shared" si="94"/>
        <v>0.9199045640545763</v>
      </c>
      <c r="G347" s="313">
        <f t="shared" si="94"/>
        <v>0.9259056303675025</v>
      </c>
      <c r="H347" s="313">
        <f t="shared" si="94"/>
        <v>0.9439540243236639</v>
      </c>
      <c r="I347" s="313">
        <f t="shared" si="94"/>
        <v>0.934045798407393</v>
      </c>
      <c r="J347" s="313">
        <f t="shared" si="94"/>
        <v>0.9386972364414113</v>
      </c>
      <c r="K347" s="282"/>
      <c r="L347" s="282"/>
      <c r="M347" s="282"/>
      <c r="N347" s="282"/>
      <c r="O347" s="282"/>
      <c r="P347" s="282"/>
    </row>
    <row r="348" spans="1:16" ht="12.75">
      <c r="A348" s="228" t="s">
        <v>443</v>
      </c>
      <c r="B348" s="315">
        <f>Analysis!D36</f>
        <v>2.8286582331526153</v>
      </c>
      <c r="C348" s="315">
        <f>Analysis!E36</f>
        <v>3.359816089763442</v>
      </c>
      <c r="D348" s="315">
        <f>Analysis!F36</f>
        <v>3.4210709399132675</v>
      </c>
      <c r="E348" s="313">
        <f aca="true" t="shared" si="95" ref="E348:J348">((E169+D169)/2)/((E237+D237)/2)</f>
        <v>3.387041903950733</v>
      </c>
      <c r="F348" s="313">
        <f t="shared" si="95"/>
        <v>3.4758381861781324</v>
      </c>
      <c r="G348" s="313">
        <f t="shared" si="95"/>
        <v>3.5407210044623727</v>
      </c>
      <c r="H348" s="313">
        <f t="shared" si="95"/>
        <v>3.6229034529860336</v>
      </c>
      <c r="I348" s="313">
        <f t="shared" si="95"/>
        <v>3.7010374199108833</v>
      </c>
      <c r="J348" s="313">
        <f t="shared" si="95"/>
        <v>3.732616118953467</v>
      </c>
      <c r="K348" s="282"/>
      <c r="L348" s="282"/>
      <c r="M348" s="282"/>
      <c r="N348" s="282"/>
      <c r="O348" s="282"/>
      <c r="P348" s="282"/>
    </row>
    <row r="349" spans="1:16" ht="12.75">
      <c r="A349" s="314" t="s">
        <v>444</v>
      </c>
      <c r="B349" s="308">
        <f>Analysis!D37</f>
        <v>0.331002331002331</v>
      </c>
      <c r="C349" s="308">
        <f>Analysis!E37</f>
        <v>0.3069299854682326</v>
      </c>
      <c r="D349" s="308">
        <f>Analysis!F37</f>
        <v>0.2864961387722919</v>
      </c>
      <c r="E349" s="309">
        <f aca="true" t="shared" si="96" ref="E349:J349">(E87-E258)/((E237+D237)/2)</f>
        <v>0.27478005231635355</v>
      </c>
      <c r="F349" s="309">
        <f t="shared" si="96"/>
        <v>0.2874599772194611</v>
      </c>
      <c r="G349" s="309">
        <f t="shared" si="96"/>
        <v>0.29263704586094036</v>
      </c>
      <c r="H349" s="309">
        <f t="shared" si="96"/>
        <v>0.30353493596501696</v>
      </c>
      <c r="I349" s="309">
        <f t="shared" si="96"/>
        <v>0.303795596924103</v>
      </c>
      <c r="J349" s="309">
        <f t="shared" si="96"/>
        <v>0.30791347444491246</v>
      </c>
      <c r="K349" s="279"/>
      <c r="L349" s="279"/>
      <c r="M349" s="279"/>
      <c r="N349" s="279"/>
      <c r="O349" s="171"/>
      <c r="P349" s="171"/>
    </row>
    <row r="350" spans="1:16" ht="12.75">
      <c r="A350" s="314"/>
      <c r="B350" s="308"/>
      <c r="C350" s="308"/>
      <c r="D350" s="308"/>
      <c r="E350" s="309"/>
      <c r="F350" s="309"/>
      <c r="G350" s="309"/>
      <c r="H350" s="309"/>
      <c r="I350" s="309"/>
      <c r="J350" s="309"/>
      <c r="K350" s="279"/>
      <c r="L350" s="279"/>
      <c r="M350" s="279"/>
      <c r="N350" s="279"/>
      <c r="O350" s="171"/>
      <c r="P350" s="171"/>
    </row>
    <row r="351" spans="1:16" ht="12.75">
      <c r="A351" s="311" t="s">
        <v>230</v>
      </c>
      <c r="B351" s="215"/>
      <c r="C351" s="215"/>
      <c r="D351" s="215"/>
      <c r="E351" s="97"/>
      <c r="F351" s="97"/>
      <c r="G351" s="97"/>
      <c r="H351" s="97"/>
      <c r="I351" s="97"/>
      <c r="J351" s="97"/>
      <c r="K351" s="279"/>
      <c r="L351" s="279"/>
      <c r="M351" s="279"/>
      <c r="N351" s="279"/>
      <c r="O351" s="282"/>
      <c r="P351" s="282"/>
    </row>
    <row r="352" spans="1:16" ht="12.75">
      <c r="A352" s="228" t="s">
        <v>442</v>
      </c>
      <c r="B352" s="308">
        <f>Analysis!D40</f>
        <v>0.11539126525813478</v>
      </c>
      <c r="C352" s="308">
        <f>Analysis!E40</f>
        <v>0.10576807410080596</v>
      </c>
      <c r="D352" s="308">
        <f>Analysis!F40</f>
        <v>0.09853111830452574</v>
      </c>
      <c r="E352" s="309">
        <f aca="true" t="shared" si="97" ref="E352:J352">(E87-E258-((1+(E75/E71))*(E52+E68))-E78-E81-E84)/E21</f>
        <v>0.08952182662453137</v>
      </c>
      <c r="F352" s="309">
        <f t="shared" si="97"/>
        <v>0.08990318196376855</v>
      </c>
      <c r="G352" s="309">
        <f t="shared" si="97"/>
        <v>0.08926287521774515</v>
      </c>
      <c r="H352" s="309">
        <f t="shared" si="97"/>
        <v>0.08875668664638137</v>
      </c>
      <c r="I352" s="309">
        <f t="shared" si="97"/>
        <v>0.08787995538783364</v>
      </c>
      <c r="J352" s="309">
        <f t="shared" si="97"/>
        <v>0.08787995538783358</v>
      </c>
      <c r="K352" s="279"/>
      <c r="L352" s="279"/>
      <c r="M352" s="279"/>
      <c r="N352" s="279"/>
      <c r="O352" s="171"/>
      <c r="P352" s="171"/>
    </row>
    <row r="353" spans="1:16" ht="12.75">
      <c r="A353" s="228" t="s">
        <v>440</v>
      </c>
      <c r="B353" s="315">
        <f>Analysis!D41</f>
        <v>1.0710641568133628</v>
      </c>
      <c r="C353" s="315">
        <f>Analysis!E41</f>
        <v>0.9430850498103308</v>
      </c>
      <c r="D353" s="315">
        <f>Analysis!F41</f>
        <v>0.8879067245119305</v>
      </c>
      <c r="E353" s="313">
        <f aca="true" t="shared" si="98" ref="E353:J353">E21/((E169+D169)/2)</f>
        <v>0.9062242868795172</v>
      </c>
      <c r="F353" s="313">
        <f t="shared" si="98"/>
        <v>0.9199045640545763</v>
      </c>
      <c r="G353" s="313">
        <f t="shared" si="98"/>
        <v>0.9259056303675025</v>
      </c>
      <c r="H353" s="313">
        <f t="shared" si="98"/>
        <v>0.9439540243236639</v>
      </c>
      <c r="I353" s="313">
        <f t="shared" si="98"/>
        <v>0.934045798407393</v>
      </c>
      <c r="J353" s="313">
        <f t="shared" si="98"/>
        <v>0.9386972364414113</v>
      </c>
      <c r="K353" s="279"/>
      <c r="L353" s="279"/>
      <c r="M353" s="279"/>
      <c r="N353" s="279"/>
      <c r="O353" s="279"/>
      <c r="P353" s="279"/>
    </row>
    <row r="354" spans="1:16" ht="12.75">
      <c r="A354" s="228" t="s">
        <v>443</v>
      </c>
      <c r="B354" s="315">
        <f>Analysis!D42</f>
        <v>2.8286582331526153</v>
      </c>
      <c r="C354" s="315">
        <f>Analysis!E42</f>
        <v>3.359816089763442</v>
      </c>
      <c r="D354" s="315">
        <f>Analysis!F42</f>
        <v>3.4210709399132675</v>
      </c>
      <c r="E354" s="313">
        <f aca="true" t="shared" si="99" ref="E354:J354">((E169+D169)/2)/((E237+D237)/2)</f>
        <v>3.387041903950733</v>
      </c>
      <c r="F354" s="313">
        <f t="shared" si="99"/>
        <v>3.4758381861781324</v>
      </c>
      <c r="G354" s="313">
        <f t="shared" si="99"/>
        <v>3.5407210044623727</v>
      </c>
      <c r="H354" s="313">
        <f t="shared" si="99"/>
        <v>3.6229034529860336</v>
      </c>
      <c r="I354" s="313">
        <f t="shared" si="99"/>
        <v>3.7010374199108833</v>
      </c>
      <c r="J354" s="313">
        <f t="shared" si="99"/>
        <v>3.732616118953467</v>
      </c>
      <c r="K354" s="279"/>
      <c r="L354" s="279"/>
      <c r="M354" s="279"/>
      <c r="N354" s="279"/>
      <c r="O354" s="282"/>
      <c r="P354" s="282"/>
    </row>
    <row r="355" spans="1:16" ht="12.75">
      <c r="A355" s="314" t="s">
        <v>444</v>
      </c>
      <c r="B355" s="308">
        <f>Analysis!D43</f>
        <v>0.34959796757549566</v>
      </c>
      <c r="C355" s="308">
        <f>Analysis!E43</f>
        <v>0.33513590775901086</v>
      </c>
      <c r="D355" s="308">
        <f>Analysis!F43</f>
        <v>0.29929732612880033</v>
      </c>
      <c r="E355" s="309">
        <f aca="true" t="shared" si="100" ref="E355:J355">(E87-E258-((1+(E75/E71))*(E52+E68))-E78-E81-E84)/((E237+D237)/2)</f>
        <v>0.27478005231635355</v>
      </c>
      <c r="F355" s="309">
        <f t="shared" si="100"/>
        <v>0.2874599772194611</v>
      </c>
      <c r="G355" s="309">
        <f t="shared" si="100"/>
        <v>0.29263704586094036</v>
      </c>
      <c r="H355" s="309">
        <f t="shared" si="100"/>
        <v>0.30353493596501696</v>
      </c>
      <c r="I355" s="309">
        <f t="shared" si="100"/>
        <v>0.303795596924103</v>
      </c>
      <c r="J355" s="309">
        <f t="shared" si="100"/>
        <v>0.30791347444491246</v>
      </c>
      <c r="K355" s="279"/>
      <c r="L355" s="279"/>
      <c r="M355" s="279"/>
      <c r="N355" s="279"/>
      <c r="O355" s="282"/>
      <c r="P355" s="282"/>
    </row>
    <row r="356" spans="1:16" ht="12.75">
      <c r="A356" s="314"/>
      <c r="B356" s="215"/>
      <c r="C356" s="215"/>
      <c r="D356" s="215"/>
      <c r="E356" s="97"/>
      <c r="F356" s="97"/>
      <c r="G356" s="97"/>
      <c r="H356" s="97"/>
      <c r="I356" s="97"/>
      <c r="J356" s="97"/>
      <c r="K356" s="99"/>
      <c r="L356" s="99"/>
      <c r="M356" s="99"/>
      <c r="N356" s="99"/>
      <c r="O356" s="282"/>
      <c r="P356" s="282"/>
    </row>
    <row r="357" spans="1:16" ht="12.75">
      <c r="A357" s="211" t="s">
        <v>445</v>
      </c>
      <c r="B357" s="215"/>
      <c r="C357" s="215"/>
      <c r="D357" s="215"/>
      <c r="E357" s="97"/>
      <c r="F357" s="97"/>
      <c r="G357" s="97"/>
      <c r="H357" s="97"/>
      <c r="I357" s="97"/>
      <c r="J357" s="97"/>
      <c r="K357" s="99"/>
      <c r="L357" s="99"/>
      <c r="M357" s="99"/>
      <c r="N357" s="99"/>
      <c r="O357" s="171"/>
      <c r="P357" s="171"/>
    </row>
    <row r="358" spans="1:16" ht="12.75">
      <c r="A358" s="228" t="s">
        <v>30</v>
      </c>
      <c r="B358" s="308">
        <f>Analysis!D46</f>
        <v>0.5405269891766659</v>
      </c>
      <c r="C358" s="308">
        <f>Analysis!E46</f>
        <v>0.5249458679177192</v>
      </c>
      <c r="D358" s="308">
        <f>Analysis!F46</f>
        <v>0.5222164539180358</v>
      </c>
      <c r="E358" s="309">
        <f aca="true" t="shared" si="101" ref="E358:J358">E27/E21</f>
        <v>0.521</v>
      </c>
      <c r="F358" s="309">
        <f t="shared" si="101"/>
        <v>0.52</v>
      </c>
      <c r="G358" s="309">
        <f t="shared" si="101"/>
        <v>0.519</v>
      </c>
      <c r="H358" s="309">
        <f t="shared" si="101"/>
        <v>0.518</v>
      </c>
      <c r="I358" s="309">
        <f t="shared" si="101"/>
        <v>0.517</v>
      </c>
      <c r="J358" s="309">
        <f t="shared" si="101"/>
        <v>0.517</v>
      </c>
      <c r="K358" s="279"/>
      <c r="L358" s="279"/>
      <c r="M358" s="279"/>
      <c r="N358" s="279"/>
      <c r="O358" s="171"/>
      <c r="P358" s="171"/>
    </row>
    <row r="359" spans="1:16" ht="12.75">
      <c r="A359" s="228" t="s">
        <v>446</v>
      </c>
      <c r="B359" s="308">
        <f>Analysis!D47</f>
        <v>0.1440575400255887</v>
      </c>
      <c r="C359" s="308">
        <f>Analysis!E47</f>
        <v>0.14484843016961385</v>
      </c>
      <c r="D359" s="308">
        <f>Analysis!F47</f>
        <v>0.13913149697673</v>
      </c>
      <c r="E359" s="309">
        <f aca="true" t="shared" si="102" ref="E359:J359">E55/E21</f>
        <v>0.1383870594116783</v>
      </c>
      <c r="F359" s="309">
        <f t="shared" si="102"/>
        <v>0.1376628059427994</v>
      </c>
      <c r="G359" s="309">
        <f t="shared" si="102"/>
        <v>0.1368384311581364</v>
      </c>
      <c r="H359" s="309">
        <f t="shared" si="102"/>
        <v>0.1360085431076264</v>
      </c>
      <c r="I359" s="309">
        <f t="shared" si="102"/>
        <v>0.13510563438261064</v>
      </c>
      <c r="J359" s="309">
        <f t="shared" si="102"/>
        <v>0.13510563438261058</v>
      </c>
      <c r="K359" s="279"/>
      <c r="L359" s="279"/>
      <c r="M359" s="279"/>
      <c r="N359" s="279"/>
      <c r="O359" s="282"/>
      <c r="P359" s="282"/>
    </row>
    <row r="360" spans="1:16" ht="12.75">
      <c r="A360" s="228"/>
      <c r="B360" s="215"/>
      <c r="C360" s="215"/>
      <c r="D360" s="215"/>
      <c r="E360" s="310"/>
      <c r="F360" s="310"/>
      <c r="G360" s="310"/>
      <c r="H360" s="310"/>
      <c r="I360" s="310"/>
      <c r="J360" s="310"/>
      <c r="K360" s="171"/>
      <c r="L360" s="171"/>
      <c r="M360" s="171"/>
      <c r="N360" s="171"/>
      <c r="O360" s="282"/>
      <c r="P360" s="282"/>
    </row>
    <row r="361" spans="1:16" ht="12.75">
      <c r="A361" s="211" t="s">
        <v>448</v>
      </c>
      <c r="B361" s="215"/>
      <c r="C361" s="215"/>
      <c r="D361" s="215"/>
      <c r="E361" s="310"/>
      <c r="F361" s="310"/>
      <c r="G361" s="309"/>
      <c r="H361" s="309"/>
      <c r="I361" s="309"/>
      <c r="J361" s="309"/>
      <c r="K361" s="279"/>
      <c r="L361" s="279"/>
      <c r="M361" s="279"/>
      <c r="N361" s="279"/>
      <c r="O361" s="171"/>
      <c r="P361" s="171"/>
    </row>
    <row r="362" spans="1:16" ht="12.75">
      <c r="A362" s="228" t="s">
        <v>31</v>
      </c>
      <c r="B362" s="315">
        <f>Analysis!D83</f>
        <v>10.566913309582533</v>
      </c>
      <c r="C362" s="315">
        <f>Analysis!E83</f>
        <v>10.04971666037023</v>
      </c>
      <c r="D362" s="315">
        <f>Analysis!F83</f>
        <v>9.387515229699707</v>
      </c>
      <c r="E362" s="313">
        <f aca="true" t="shared" si="103" ref="E362:J362">E21/((E124+D124)/2)</f>
        <v>9.519631048701442</v>
      </c>
      <c r="F362" s="313">
        <f t="shared" si="103"/>
        <v>9.550254793623017</v>
      </c>
      <c r="G362" s="313">
        <f t="shared" si="103"/>
        <v>9.552080122416207</v>
      </c>
      <c r="H362" s="313">
        <f t="shared" si="103"/>
        <v>9.642992269790385</v>
      </c>
      <c r="I362" s="313">
        <f t="shared" si="103"/>
        <v>9.466682519383406</v>
      </c>
      <c r="J362" s="313">
        <f t="shared" si="103"/>
        <v>9.497284324870531</v>
      </c>
      <c r="K362" s="282"/>
      <c r="L362" s="282"/>
      <c r="M362" s="282"/>
      <c r="N362" s="282"/>
      <c r="O362" s="171"/>
      <c r="P362" s="171"/>
    </row>
    <row r="363" spans="1:16" ht="12.75">
      <c r="A363" s="228" t="s">
        <v>449</v>
      </c>
      <c r="B363" s="315">
        <f>Analysis!D85</f>
        <v>8.873121869782972</v>
      </c>
      <c r="C363" s="315">
        <f>Analysis!E85</f>
        <v>8.777052368384497</v>
      </c>
      <c r="D363" s="315">
        <f>Analysis!F85</f>
        <v>8.447894168466522</v>
      </c>
      <c r="E363" s="313">
        <f aca="true" t="shared" si="104" ref="E363:J363">-E24/((E127+D127)/2)</f>
        <v>8.68926252929255</v>
      </c>
      <c r="F363" s="313">
        <f t="shared" si="104"/>
        <v>8.42474876260841</v>
      </c>
      <c r="G363" s="313">
        <f t="shared" si="104"/>
        <v>8.33219264844768</v>
      </c>
      <c r="H363" s="313">
        <f t="shared" si="104"/>
        <v>8.318013196298153</v>
      </c>
      <c r="I363" s="313">
        <f t="shared" si="104"/>
        <v>8.077671455187193</v>
      </c>
      <c r="J363" s="313">
        <f t="shared" si="104"/>
        <v>8.052045405868494</v>
      </c>
      <c r="K363" s="282"/>
      <c r="L363" s="282"/>
      <c r="M363" s="282"/>
      <c r="N363" s="282"/>
      <c r="O363" s="282"/>
      <c r="P363" s="282"/>
    </row>
    <row r="364" spans="1:16" ht="12.75">
      <c r="A364" s="228" t="s">
        <v>32</v>
      </c>
      <c r="B364" s="315">
        <f>Analysis!D90</f>
        <v>3.6457499448454094</v>
      </c>
      <c r="C364" s="315">
        <f>Analysis!E90</f>
        <v>3.431933120033027</v>
      </c>
      <c r="D364" s="315">
        <f>Analysis!F90</f>
        <v>3.3729206365555955</v>
      </c>
      <c r="E364" s="313">
        <f aca="true" t="shared" si="105" ref="E364:J364">E21/((E148+E151+D148+D151)/2)</f>
        <v>3.5392930517027894</v>
      </c>
      <c r="F364" s="313">
        <f t="shared" si="105"/>
        <v>3.6208589667773534</v>
      </c>
      <c r="G364" s="313">
        <f t="shared" si="105"/>
        <v>3.7006781472345573</v>
      </c>
      <c r="H364" s="313">
        <f t="shared" si="105"/>
        <v>3.871763460618803</v>
      </c>
      <c r="I364" s="313">
        <f t="shared" si="105"/>
        <v>3.9230380803551834</v>
      </c>
      <c r="J364" s="313">
        <f t="shared" si="105"/>
        <v>3.9703289554262002</v>
      </c>
      <c r="K364" s="282"/>
      <c r="L364" s="282"/>
      <c r="M364" s="282"/>
      <c r="N364" s="282"/>
      <c r="O364" s="171"/>
      <c r="P364" s="171"/>
    </row>
    <row r="365" spans="1:16" ht="12.75">
      <c r="A365" s="228"/>
      <c r="B365" s="215"/>
      <c r="C365" s="215"/>
      <c r="D365" s="215"/>
      <c r="E365" s="97"/>
      <c r="F365" s="97"/>
      <c r="G365" s="310"/>
      <c r="H365" s="310"/>
      <c r="I365" s="310"/>
      <c r="J365" s="310"/>
      <c r="K365" s="171"/>
      <c r="L365" s="171"/>
      <c r="M365" s="171"/>
      <c r="N365" s="171"/>
      <c r="O365" s="279"/>
      <c r="P365" s="279"/>
    </row>
    <row r="366" spans="1:16" ht="12.75">
      <c r="A366" s="211" t="s">
        <v>451</v>
      </c>
      <c r="B366" s="215"/>
      <c r="C366" s="215"/>
      <c r="D366" s="215"/>
      <c r="E366" s="97"/>
      <c r="F366" s="97"/>
      <c r="G366" s="310"/>
      <c r="H366" s="310"/>
      <c r="I366" s="310"/>
      <c r="J366" s="310"/>
      <c r="K366" s="171"/>
      <c r="L366" s="171"/>
      <c r="M366" s="171"/>
      <c r="N366" s="171"/>
      <c r="O366" s="282"/>
      <c r="P366" s="282"/>
    </row>
    <row r="367" spans="1:16" ht="12.75">
      <c r="A367" s="228" t="s">
        <v>452</v>
      </c>
      <c r="B367" s="315">
        <f>Analysis!D78</f>
        <v>1.1055247923483513</v>
      </c>
      <c r="C367" s="315">
        <f>Analysis!E78</f>
        <v>0.9607249091109398</v>
      </c>
      <c r="D367" s="315">
        <f>Analysis!F78</f>
        <v>1.0954415120837966</v>
      </c>
      <c r="E367" s="313">
        <f aca="true" t="shared" si="106" ref="E367:J367">E142/E198</f>
        <v>1.0388344589377745</v>
      </c>
      <c r="F367" s="313">
        <f t="shared" si="106"/>
        <v>1.0393708366036556</v>
      </c>
      <c r="G367" s="313">
        <f t="shared" si="106"/>
        <v>1.0393148522434374</v>
      </c>
      <c r="H367" s="313">
        <f t="shared" si="106"/>
        <v>1.0405374921142392</v>
      </c>
      <c r="I367" s="313">
        <f t="shared" si="106"/>
        <v>1.0412393657612888</v>
      </c>
      <c r="J367" s="313">
        <f t="shared" si="106"/>
        <v>1.0412393657612888</v>
      </c>
      <c r="K367" s="282"/>
      <c r="L367" s="282"/>
      <c r="M367" s="282"/>
      <c r="N367" s="282"/>
      <c r="O367" s="282"/>
      <c r="P367" s="282"/>
    </row>
    <row r="368" spans="1:16" ht="12.75">
      <c r="A368" s="228" t="s">
        <v>453</v>
      </c>
      <c r="B368" s="315">
        <f>Analysis!D79</f>
        <v>0.7986408255726152</v>
      </c>
      <c r="C368" s="315">
        <f>Analysis!E79</f>
        <v>0.6244904704197423</v>
      </c>
      <c r="D368" s="315">
        <f>Analysis!F79</f>
        <v>0.799344607642343</v>
      </c>
      <c r="E368" s="313">
        <f aca="true" t="shared" si="107" ref="E368:J368">(E118+E121+E124)/E198</f>
        <v>0.7276865405325931</v>
      </c>
      <c r="F368" s="313">
        <f t="shared" si="107"/>
        <v>0.7253216532824003</v>
      </c>
      <c r="G368" s="313">
        <f t="shared" si="107"/>
        <v>0.722619023147834</v>
      </c>
      <c r="H368" s="313">
        <f t="shared" si="107"/>
        <v>0.7208073437632241</v>
      </c>
      <c r="I368" s="313">
        <f t="shared" si="107"/>
        <v>0.718820302305665</v>
      </c>
      <c r="J368" s="313">
        <f t="shared" si="107"/>
        <v>0.7188203023056651</v>
      </c>
      <c r="K368" s="282"/>
      <c r="L368" s="282"/>
      <c r="M368" s="282"/>
      <c r="N368" s="282"/>
      <c r="O368" s="282"/>
      <c r="P368" s="282"/>
    </row>
    <row r="369" spans="1:16" ht="12.75">
      <c r="A369" s="228"/>
      <c r="B369" s="215"/>
      <c r="C369" s="215"/>
      <c r="D369" s="215"/>
      <c r="E369" s="310"/>
      <c r="F369" s="310"/>
      <c r="G369" s="310"/>
      <c r="H369" s="310"/>
      <c r="I369" s="310"/>
      <c r="J369" s="310"/>
      <c r="K369" s="171"/>
      <c r="L369" s="171"/>
      <c r="M369" s="171"/>
      <c r="N369" s="171"/>
      <c r="O369" s="171"/>
      <c r="P369" s="171"/>
    </row>
    <row r="370" spans="1:16" ht="12.75">
      <c r="A370" s="211" t="s">
        <v>455</v>
      </c>
      <c r="B370" s="215"/>
      <c r="C370" s="215"/>
      <c r="D370" s="215"/>
      <c r="E370" s="310"/>
      <c r="F370" s="310"/>
      <c r="G370" s="310"/>
      <c r="H370" s="310"/>
      <c r="I370" s="310"/>
      <c r="J370" s="310"/>
      <c r="K370" s="171"/>
      <c r="L370" s="171"/>
      <c r="M370" s="171"/>
      <c r="N370" s="171"/>
      <c r="O370" s="171"/>
      <c r="P370" s="171"/>
    </row>
    <row r="371" spans="1:16" ht="12.75">
      <c r="A371" s="228" t="s">
        <v>456</v>
      </c>
      <c r="B371" s="308">
        <f>Analysis!D95</f>
        <v>0.6848854782621455</v>
      </c>
      <c r="C371" s="308">
        <f>Analysis!E95</f>
        <v>0.7132488131500233</v>
      </c>
      <c r="D371" s="308">
        <f>Analysis!F95</f>
        <v>0.6998981751922613</v>
      </c>
      <c r="E371" s="309">
        <f aca="true" t="shared" si="108" ref="E371:J371">E216/E169</f>
        <v>0.7083903194121368</v>
      </c>
      <c r="F371" s="309">
        <f t="shared" si="108"/>
        <v>0.7134017030566475</v>
      </c>
      <c r="G371" s="309">
        <f t="shared" si="108"/>
        <v>0.7190187349335642</v>
      </c>
      <c r="H371" s="309">
        <f t="shared" si="108"/>
        <v>0.726244318283494</v>
      </c>
      <c r="I371" s="309">
        <f t="shared" si="108"/>
        <v>0.7308848919304939</v>
      </c>
      <c r="J371" s="309">
        <f t="shared" si="108"/>
        <v>0.7308848919304939</v>
      </c>
      <c r="K371" s="282"/>
      <c r="L371" s="282"/>
      <c r="M371" s="282"/>
      <c r="N371" s="282"/>
      <c r="O371" s="282"/>
      <c r="P371" s="282"/>
    </row>
    <row r="372" spans="1:16" ht="12.75">
      <c r="A372" s="228" t="s">
        <v>17</v>
      </c>
      <c r="B372" s="309">
        <f>Analysis!D96</f>
        <v>2.1734494319240083</v>
      </c>
      <c r="C372" s="309">
        <f>Analysis!E96</f>
        <v>2.4873438920522513</v>
      </c>
      <c r="D372" s="309">
        <f>Analysis!F96</f>
        <v>2.332202330461181</v>
      </c>
      <c r="E372" s="309">
        <f aca="true" t="shared" si="109" ref="E372:J372">E216/E237</f>
        <v>2.4408248347251353</v>
      </c>
      <c r="F372" s="309">
        <f t="shared" si="109"/>
        <v>2.5008630931936446</v>
      </c>
      <c r="G372" s="309">
        <f t="shared" si="109"/>
        <v>2.5707669733182534</v>
      </c>
      <c r="H372" s="309">
        <f t="shared" si="109"/>
        <v>2.6648681088762385</v>
      </c>
      <c r="I372" s="309">
        <f t="shared" si="109"/>
        <v>2.7281127287193234</v>
      </c>
      <c r="J372" s="309">
        <f t="shared" si="109"/>
        <v>2.728112728719325</v>
      </c>
      <c r="K372" s="282"/>
      <c r="L372" s="282"/>
      <c r="M372" s="282"/>
      <c r="N372" s="282"/>
      <c r="O372" s="282"/>
      <c r="P372" s="282"/>
    </row>
    <row r="373" spans="1:16" ht="12.75">
      <c r="A373" s="228" t="s">
        <v>458</v>
      </c>
      <c r="B373" s="315">
        <f>Analysis!D100</f>
        <v>10.116279069767442</v>
      </c>
      <c r="C373" s="315">
        <f>Analysis!E100</f>
        <v>11.320093457943925</v>
      </c>
      <c r="D373" s="315">
        <f>Analysis!F100</f>
        <v>10.236929922135706</v>
      </c>
      <c r="E373" s="313">
        <f aca="true" t="shared" si="110" ref="E373:J373">(E71-E62)/(-E62)</f>
        <v>9.056161712195374</v>
      </c>
      <c r="F373" s="313">
        <f t="shared" si="110"/>
        <v>9.049922997217497</v>
      </c>
      <c r="G373" s="313">
        <f t="shared" si="110"/>
        <v>8.967789195849809</v>
      </c>
      <c r="H373" s="313">
        <f t="shared" si="110"/>
        <v>9.000019847647847</v>
      </c>
      <c r="I373" s="313">
        <f t="shared" si="110"/>
        <v>8.763309954449891</v>
      </c>
      <c r="J373" s="313">
        <f t="shared" si="110"/>
        <v>8.763309954449886</v>
      </c>
      <c r="K373" s="282"/>
      <c r="L373" s="282"/>
      <c r="M373" s="282"/>
      <c r="N373" s="282"/>
      <c r="O373" s="171"/>
      <c r="P373" s="171"/>
    </row>
    <row r="374" spans="1:16" ht="12.75">
      <c r="A374" s="49"/>
      <c r="B374" s="49"/>
      <c r="C374" s="49"/>
      <c r="D374" s="49"/>
      <c r="E374" s="49"/>
      <c r="F374" s="49"/>
      <c r="G374" s="49"/>
      <c r="H374" s="49"/>
      <c r="I374" s="49"/>
      <c r="J374" s="49"/>
      <c r="K374" s="49"/>
      <c r="L374" s="49"/>
      <c r="M374" s="49"/>
      <c r="N374" s="49"/>
      <c r="O374" s="171"/>
      <c r="P374" s="171"/>
    </row>
    <row r="375" spans="1:16" ht="12.75">
      <c r="A375" s="49"/>
      <c r="B375" s="49"/>
      <c r="C375" s="49"/>
      <c r="D375" s="49"/>
      <c r="E375" s="49"/>
      <c r="F375" s="49"/>
      <c r="G375" s="49"/>
      <c r="H375" s="49"/>
      <c r="I375" s="49"/>
      <c r="J375" s="49"/>
      <c r="K375" s="49"/>
      <c r="L375" s="49"/>
      <c r="M375" s="49"/>
      <c r="N375" s="49"/>
      <c r="O375" s="282"/>
      <c r="P375" s="282"/>
    </row>
    <row r="376" spans="1:16" ht="12.75">
      <c r="A376" s="49"/>
      <c r="B376" s="49"/>
      <c r="C376" s="49"/>
      <c r="D376" s="49"/>
      <c r="E376" s="49"/>
      <c r="F376" s="49"/>
      <c r="G376" s="49"/>
      <c r="H376" s="49"/>
      <c r="I376" s="49"/>
      <c r="J376" s="49"/>
      <c r="K376" s="49"/>
      <c r="L376" s="49"/>
      <c r="M376" s="49"/>
      <c r="N376" s="49"/>
      <c r="O376" s="171"/>
      <c r="P376" s="171"/>
    </row>
    <row r="377" spans="1:16" ht="12.75">
      <c r="A377" s="49"/>
      <c r="B377" s="49"/>
      <c r="C377" s="49"/>
      <c r="D377" s="49"/>
      <c r="E377" s="49"/>
      <c r="F377" s="49"/>
      <c r="G377" s="49"/>
      <c r="H377" s="49"/>
      <c r="I377" s="49"/>
      <c r="J377" s="49"/>
      <c r="K377" s="49"/>
      <c r="L377" s="49"/>
      <c r="M377" s="49"/>
      <c r="N377" s="49"/>
      <c r="O377" s="279"/>
      <c r="P377" s="279"/>
    </row>
    <row r="378" spans="1:16" ht="12.75">
      <c r="A378" s="49"/>
      <c r="B378" s="49"/>
      <c r="C378" s="49"/>
      <c r="D378" s="49"/>
      <c r="E378" s="49"/>
      <c r="F378" s="49"/>
      <c r="G378" s="49"/>
      <c r="H378" s="49"/>
      <c r="I378" s="49"/>
      <c r="J378" s="49"/>
      <c r="K378" s="49"/>
      <c r="L378" s="49"/>
      <c r="M378" s="49"/>
      <c r="N378" s="49"/>
      <c r="O378" s="282"/>
      <c r="P378" s="282"/>
    </row>
    <row r="379" spans="1:16" ht="12.75">
      <c r="A379" s="49"/>
      <c r="B379" s="49"/>
      <c r="C379" s="49"/>
      <c r="D379" s="49"/>
      <c r="E379" s="49"/>
      <c r="F379" s="49"/>
      <c r="G379" s="49"/>
      <c r="H379" s="49"/>
      <c r="I379" s="49"/>
      <c r="J379" s="49"/>
      <c r="K379" s="49"/>
      <c r="L379" s="49"/>
      <c r="M379" s="49"/>
      <c r="N379" s="49"/>
      <c r="O379" s="282"/>
      <c r="P379" s="282"/>
    </row>
    <row r="380" spans="1:16" ht="12.75">
      <c r="A380" s="49"/>
      <c r="B380" s="49"/>
      <c r="C380" s="49"/>
      <c r="D380" s="49"/>
      <c r="E380" s="49"/>
      <c r="F380" s="49"/>
      <c r="G380" s="49"/>
      <c r="H380" s="49"/>
      <c r="I380" s="49"/>
      <c r="J380" s="49"/>
      <c r="K380" s="49"/>
      <c r="L380" s="49"/>
      <c r="M380" s="49"/>
      <c r="N380" s="49"/>
      <c r="O380" s="282"/>
      <c r="P380" s="282"/>
    </row>
    <row r="381" spans="1:16" ht="12.75">
      <c r="A381" s="49"/>
      <c r="B381" s="49"/>
      <c r="C381" s="49"/>
      <c r="D381" s="49"/>
      <c r="E381" s="49"/>
      <c r="F381" s="49"/>
      <c r="G381" s="49"/>
      <c r="H381" s="49"/>
      <c r="I381" s="49"/>
      <c r="J381" s="49"/>
      <c r="K381" s="49"/>
      <c r="L381" s="49"/>
      <c r="M381" s="49"/>
      <c r="N381" s="49"/>
      <c r="O381" s="171"/>
      <c r="P381" s="171"/>
    </row>
    <row r="382" spans="1:16" ht="12.75">
      <c r="A382" s="49"/>
      <c r="B382" s="49"/>
      <c r="C382" s="49"/>
      <c r="D382" s="49"/>
      <c r="E382" s="49"/>
      <c r="F382" s="49"/>
      <c r="G382" s="49"/>
      <c r="H382" s="49"/>
      <c r="I382" s="49"/>
      <c r="J382" s="49"/>
      <c r="K382" s="49"/>
      <c r="L382" s="49"/>
      <c r="M382" s="49"/>
      <c r="N382" s="49"/>
      <c r="O382" s="171"/>
      <c r="P382" s="171"/>
    </row>
    <row r="383" spans="1:16" ht="12.75">
      <c r="A383" s="49"/>
      <c r="B383" s="49"/>
      <c r="C383" s="49"/>
      <c r="D383" s="49"/>
      <c r="E383" s="49"/>
      <c r="F383" s="49"/>
      <c r="G383" s="49"/>
      <c r="H383" s="49"/>
      <c r="I383" s="49"/>
      <c r="J383" s="49"/>
      <c r="K383" s="49"/>
      <c r="L383" s="49"/>
      <c r="M383" s="49"/>
      <c r="N383" s="49"/>
      <c r="O383" s="282"/>
      <c r="P383" s="282"/>
    </row>
    <row r="384" spans="1:16" ht="12.75">
      <c r="A384" s="49"/>
      <c r="B384" s="49"/>
      <c r="C384" s="49"/>
      <c r="D384" s="49"/>
      <c r="E384" s="49"/>
      <c r="F384" s="49"/>
      <c r="G384" s="49"/>
      <c r="H384" s="49"/>
      <c r="I384" s="49"/>
      <c r="J384" s="49"/>
      <c r="K384" s="49"/>
      <c r="L384" s="49"/>
      <c r="M384" s="49"/>
      <c r="N384" s="49"/>
      <c r="O384" s="282"/>
      <c r="P384" s="282"/>
    </row>
    <row r="385" spans="1:14" ht="12.75">
      <c r="A385" s="49"/>
      <c r="B385" s="49"/>
      <c r="C385" s="49"/>
      <c r="D385" s="49"/>
      <c r="E385" s="49"/>
      <c r="F385" s="49"/>
      <c r="G385" s="49"/>
      <c r="H385" s="49"/>
      <c r="I385" s="49"/>
      <c r="J385" s="49"/>
      <c r="K385" s="49"/>
      <c r="L385" s="49"/>
      <c r="M385" s="49"/>
      <c r="N385" s="49"/>
    </row>
    <row r="386" spans="1:14" ht="12.75">
      <c r="A386" s="49"/>
      <c r="B386" s="49"/>
      <c r="C386" s="49"/>
      <c r="D386" s="49"/>
      <c r="E386" s="49"/>
      <c r="F386" s="49"/>
      <c r="G386" s="49"/>
      <c r="H386" s="49"/>
      <c r="I386" s="49"/>
      <c r="J386" s="49"/>
      <c r="K386" s="49"/>
      <c r="L386" s="49"/>
      <c r="M386" s="49"/>
      <c r="N386" s="49"/>
    </row>
    <row r="387" spans="11:14" ht="12.75">
      <c r="K387" s="49"/>
      <c r="L387" s="49"/>
      <c r="M387" s="49"/>
      <c r="N387" s="49"/>
    </row>
    <row r="388" spans="11:14" ht="12.75">
      <c r="K388" s="49"/>
      <c r="L388" s="49"/>
      <c r="M388" s="49"/>
      <c r="N388" s="49"/>
    </row>
  </sheetData>
  <sheetProtection/>
  <printOptions/>
  <pageMargins left="0.75" right="0.75" top="1" bottom="1" header="0.5" footer="0.5"/>
  <pageSetup horizontalDpi="600" verticalDpi="600" orientation="landscape" scale="79" r:id="rId3"/>
  <rowBreaks count="10" manualBreakCount="10">
    <brk id="30" max="9" man="1"/>
    <brk id="58" max="9" man="1"/>
    <brk id="74" max="9" man="1"/>
    <brk id="103" max="9" man="1"/>
    <brk id="144" max="9" man="1"/>
    <brk id="172" max="9" man="1"/>
    <brk id="218" max="9" man="1"/>
    <brk id="262" max="9" man="1"/>
    <brk id="320" max="9" man="1"/>
    <brk id="356" max="9" man="1"/>
  </rowBreaks>
  <legacyDrawing r:id="rId2"/>
</worksheet>
</file>

<file path=xl/worksheets/sheet5.xml><?xml version="1.0" encoding="utf-8"?>
<worksheet xmlns="http://schemas.openxmlformats.org/spreadsheetml/2006/main" xmlns:r="http://schemas.openxmlformats.org/officeDocument/2006/relationships">
  <dimension ref="A1:S292"/>
  <sheetViews>
    <sheetView zoomScalePageLayoutView="0" workbookViewId="0" topLeftCell="A1">
      <selection activeCell="D40" sqref="D40"/>
    </sheetView>
  </sheetViews>
  <sheetFormatPr defaultColWidth="9.140625" defaultRowHeight="12.75"/>
  <cols>
    <col min="1" max="3" width="11.7109375" style="17" customWidth="1"/>
    <col min="4" max="4" width="15.57421875" style="17" customWidth="1"/>
    <col min="5" max="5" width="11.7109375" style="17" customWidth="1"/>
    <col min="6" max="6" width="15.57421875" style="17" customWidth="1"/>
    <col min="7" max="13" width="11.7109375" style="17" customWidth="1"/>
    <col min="14" max="16384" width="9.140625" style="17" customWidth="1"/>
  </cols>
  <sheetData>
    <row r="1" spans="1:16" ht="12.75">
      <c r="A1" s="1" t="str">
        <f>Data!A1</f>
        <v>Financial Statement Analysis Package (FSAP): Version 8.0</v>
      </c>
      <c r="B1" s="177"/>
      <c r="C1" s="177"/>
      <c r="D1" s="177"/>
      <c r="E1" s="177"/>
      <c r="F1" s="177"/>
      <c r="G1" s="177"/>
      <c r="H1" s="177"/>
      <c r="I1" s="177"/>
      <c r="J1" s="374"/>
      <c r="L1" s="5"/>
      <c r="M1" s="6"/>
      <c r="N1" s="6"/>
      <c r="O1" s="6"/>
      <c r="P1" s="7"/>
    </row>
    <row r="2" spans="1:16" ht="12.75">
      <c r="A2" s="9" t="str">
        <f>Data!A2</f>
        <v>Financial Reporting, Financial Statement Analysis, and Valuation: A Strategic Perspective, 8th Edition</v>
      </c>
      <c r="B2" s="179"/>
      <c r="C2" s="179"/>
      <c r="D2" s="179"/>
      <c r="E2" s="179"/>
      <c r="F2" s="179"/>
      <c r="G2" s="179"/>
      <c r="H2" s="179"/>
      <c r="I2" s="179"/>
      <c r="J2" s="74"/>
      <c r="L2" s="9" t="s">
        <v>413</v>
      </c>
      <c r="M2" s="10"/>
      <c r="N2" s="10"/>
      <c r="O2" s="10"/>
      <c r="P2" s="11"/>
    </row>
    <row r="3" spans="1:16" ht="13.5" thickBot="1">
      <c r="A3" s="12" t="s">
        <v>414</v>
      </c>
      <c r="B3" s="124"/>
      <c r="C3" s="124"/>
      <c r="D3" s="124"/>
      <c r="E3" s="124"/>
      <c r="F3" s="124"/>
      <c r="G3" s="124"/>
      <c r="H3" s="124"/>
      <c r="I3" s="124"/>
      <c r="J3" s="125"/>
      <c r="L3" s="15"/>
      <c r="M3" s="13"/>
      <c r="N3" s="13"/>
      <c r="O3" s="13"/>
      <c r="P3" s="14"/>
    </row>
    <row r="4" spans="12:19" ht="12.75">
      <c r="L4" s="28" t="s">
        <v>548</v>
      </c>
      <c r="M4" s="28"/>
      <c r="N4" s="28"/>
      <c r="O4" s="28"/>
      <c r="P4" s="28"/>
      <c r="Q4" s="28"/>
      <c r="R4" s="28"/>
      <c r="S4" s="28"/>
    </row>
    <row r="6" spans="1:12" ht="12.75">
      <c r="A6" s="18" t="s">
        <v>535</v>
      </c>
      <c r="L6" s="109" t="s">
        <v>261</v>
      </c>
    </row>
    <row r="7" spans="1:12" ht="12.75">
      <c r="A7" s="18"/>
      <c r="L7" s="180" t="s">
        <v>193</v>
      </c>
    </row>
    <row r="8" spans="1:12" ht="12.75">
      <c r="A8" s="18" t="s">
        <v>396</v>
      </c>
      <c r="I8" s="51"/>
      <c r="L8" s="180"/>
    </row>
    <row r="9" spans="1:12" ht="12.75">
      <c r="A9" s="375" t="s">
        <v>392</v>
      </c>
      <c r="B9" s="376"/>
      <c r="C9" s="376"/>
      <c r="D9" s="376"/>
      <c r="E9" s="377"/>
      <c r="F9" s="378">
        <f>E84</f>
        <v>85.86084633016414</v>
      </c>
      <c r="L9" s="17" t="s">
        <v>398</v>
      </c>
    </row>
    <row r="10" spans="1:12" ht="12.75">
      <c r="A10" s="379" t="s">
        <v>393</v>
      </c>
      <c r="B10" s="380"/>
      <c r="C10" s="380"/>
      <c r="D10" s="380"/>
      <c r="E10" s="381"/>
      <c r="F10" s="382">
        <f>E114</f>
        <v>85.86084633016416</v>
      </c>
      <c r="L10" s="17" t="s">
        <v>398</v>
      </c>
    </row>
    <row r="11" spans="1:12" ht="12.75">
      <c r="A11" s="379" t="s">
        <v>394</v>
      </c>
      <c r="B11" s="380"/>
      <c r="C11" s="380"/>
      <c r="D11" s="380"/>
      <c r="E11" s="381"/>
      <c r="F11" s="382">
        <f>E171</f>
        <v>85.86084633016401</v>
      </c>
      <c r="L11" s="17" t="s">
        <v>398</v>
      </c>
    </row>
    <row r="12" spans="1:12" ht="12.75">
      <c r="A12" s="379" t="s">
        <v>395</v>
      </c>
      <c r="B12" s="380"/>
      <c r="C12" s="380"/>
      <c r="D12" s="380"/>
      <c r="E12" s="381"/>
      <c r="F12" s="382">
        <f>E232</f>
        <v>85.860846330164</v>
      </c>
      <c r="L12" s="17" t="s">
        <v>398</v>
      </c>
    </row>
    <row r="13" spans="1:12" ht="12.75">
      <c r="A13" s="383" t="s">
        <v>397</v>
      </c>
      <c r="B13" s="384"/>
      <c r="C13" s="384"/>
      <c r="D13" s="384"/>
      <c r="E13" s="385"/>
      <c r="F13" s="386">
        <f>E269</f>
        <v>89.02310142097963</v>
      </c>
      <c r="L13" s="17" t="s">
        <v>398</v>
      </c>
    </row>
    <row r="14" spans="1:12" ht="12.75">
      <c r="A14" s="387" t="s">
        <v>669</v>
      </c>
      <c r="B14" s="61"/>
      <c r="C14" s="61"/>
      <c r="D14" s="61"/>
      <c r="E14" s="388"/>
      <c r="L14" s="180"/>
    </row>
    <row r="15" spans="1:12" ht="12.75">
      <c r="A15" s="524" t="s">
        <v>670</v>
      </c>
      <c r="L15" s="180"/>
    </row>
    <row r="16" ht="12.75">
      <c r="L16" s="180"/>
    </row>
    <row r="17" ht="13.5" thickBot="1"/>
    <row r="18" spans="1:10" ht="13.5" thickTop="1">
      <c r="A18" s="389" t="s">
        <v>474</v>
      </c>
      <c r="B18" s="390"/>
      <c r="C18" s="391" t="s">
        <v>184</v>
      </c>
      <c r="D18" s="392"/>
      <c r="E18" s="392"/>
      <c r="F18" s="392"/>
      <c r="G18" s="392"/>
      <c r="H18" s="392" t="s">
        <v>42</v>
      </c>
      <c r="I18" s="392"/>
      <c r="J18" s="393"/>
    </row>
    <row r="19" spans="1:10" ht="12.75">
      <c r="A19" s="394" t="str">
        <f>Data!$A$9</f>
        <v>Analyst Name:</v>
      </c>
      <c r="B19" s="395"/>
      <c r="C19" s="188" t="str">
        <f>Data!$B$9</f>
        <v>Wahlen, Baginski &amp; Bradshaw</v>
      </c>
      <c r="D19" s="190"/>
      <c r="E19" s="185"/>
      <c r="F19" s="191"/>
      <c r="G19" s="191"/>
      <c r="H19" s="191"/>
      <c r="I19" s="191"/>
      <c r="J19" s="396"/>
    </row>
    <row r="20" spans="1:10" ht="12.75">
      <c r="A20" s="394" t="str">
        <f>Data!$A$10</f>
        <v>Company Name:</v>
      </c>
      <c r="B20" s="397"/>
      <c r="C20" s="188" t="str">
        <f>Data!$B$10</f>
        <v>PepsiCo</v>
      </c>
      <c r="D20" s="185"/>
      <c r="E20" s="241"/>
      <c r="F20" s="191"/>
      <c r="G20" s="191"/>
      <c r="H20" s="191"/>
      <c r="I20" s="191"/>
      <c r="J20" s="396"/>
    </row>
    <row r="21" spans="1:10" ht="13.5" thickBot="1">
      <c r="A21" s="398"/>
      <c r="B21" s="70"/>
      <c r="C21" s="70"/>
      <c r="D21" s="70"/>
      <c r="E21" s="70"/>
      <c r="F21" s="70"/>
      <c r="G21" s="70"/>
      <c r="H21" s="70"/>
      <c r="I21" s="70"/>
      <c r="J21" s="399"/>
    </row>
    <row r="22" spans="1:10" ht="13.5" thickTop="1">
      <c r="A22" s="400" t="s">
        <v>43</v>
      </c>
      <c r="B22" s="334"/>
      <c r="C22" s="334"/>
      <c r="D22" s="401"/>
      <c r="E22" s="402"/>
      <c r="F22" s="402"/>
      <c r="G22" s="402"/>
      <c r="H22" s="402"/>
      <c r="I22" s="402"/>
      <c r="J22" s="403"/>
    </row>
    <row r="23" spans="1:12" ht="12.75">
      <c r="A23" s="398"/>
      <c r="B23" s="70"/>
      <c r="C23" s="70"/>
      <c r="D23" s="70"/>
      <c r="E23" s="70"/>
      <c r="F23" s="70"/>
      <c r="G23" s="70"/>
      <c r="H23" s="70"/>
      <c r="I23" s="70"/>
      <c r="J23" s="404"/>
      <c r="L23" s="109" t="s">
        <v>186</v>
      </c>
    </row>
    <row r="24" spans="1:12" ht="12.75">
      <c r="A24" s="398" t="s">
        <v>50</v>
      </c>
      <c r="B24" s="70"/>
      <c r="C24" s="70"/>
      <c r="D24" s="70"/>
      <c r="F24" s="405">
        <f>Data!G148</f>
        <v>68.43</v>
      </c>
      <c r="G24" s="70"/>
      <c r="H24" s="70"/>
      <c r="I24" s="70"/>
      <c r="J24" s="404"/>
      <c r="L24" s="17" t="s">
        <v>546</v>
      </c>
    </row>
    <row r="25" spans="1:12" ht="12.75">
      <c r="A25" s="398" t="s">
        <v>254</v>
      </c>
      <c r="B25" s="70"/>
      <c r="C25" s="70"/>
      <c r="D25" s="70"/>
      <c r="E25" s="70"/>
      <c r="F25" s="527">
        <f>Data!$G$145</f>
        <v>1544</v>
      </c>
      <c r="G25" s="70"/>
      <c r="H25" s="70"/>
      <c r="I25" s="70"/>
      <c r="J25" s="404"/>
      <c r="L25" s="17" t="s">
        <v>547</v>
      </c>
    </row>
    <row r="26" spans="1:12" ht="12.75">
      <c r="A26" s="398" t="s">
        <v>255</v>
      </c>
      <c r="B26" s="70"/>
      <c r="C26" s="70"/>
      <c r="D26" s="70"/>
      <c r="E26" s="70"/>
      <c r="F26" s="406">
        <f>F24*F25</f>
        <v>105655.92000000001</v>
      </c>
      <c r="G26" s="70"/>
      <c r="H26" s="70"/>
      <c r="I26" s="70"/>
      <c r="J26" s="404"/>
      <c r="L26" s="17" t="s">
        <v>539</v>
      </c>
    </row>
    <row r="27" spans="1:10" ht="12.75">
      <c r="A27" s="398"/>
      <c r="B27" s="70"/>
      <c r="C27" s="70"/>
      <c r="D27" s="70"/>
      <c r="E27" s="70"/>
      <c r="F27" s="407"/>
      <c r="G27" s="70"/>
      <c r="H27" s="70"/>
      <c r="I27" s="70"/>
      <c r="J27" s="404"/>
    </row>
    <row r="28" spans="1:10" ht="12.75">
      <c r="A28" s="398" t="s">
        <v>101</v>
      </c>
      <c r="B28" s="70"/>
      <c r="C28" s="70"/>
      <c r="D28" s="70"/>
      <c r="E28" s="70"/>
      <c r="F28" s="407"/>
      <c r="G28" s="70"/>
      <c r="H28" s="70"/>
      <c r="I28" s="70"/>
      <c r="J28" s="404"/>
    </row>
    <row r="29" spans="1:12" ht="12.75">
      <c r="A29" s="398" t="s">
        <v>248</v>
      </c>
      <c r="B29" s="70"/>
      <c r="C29" s="70"/>
      <c r="D29" s="70"/>
      <c r="E29" s="70"/>
      <c r="F29" s="408">
        <f>Forecasts!$J$15</f>
        <v>0.03</v>
      </c>
      <c r="G29" s="70"/>
      <c r="H29" s="70"/>
      <c r="I29" s="70"/>
      <c r="J29" s="404"/>
      <c r="L29" s="109" t="s">
        <v>187</v>
      </c>
    </row>
    <row r="30" spans="1:12" ht="12.75">
      <c r="A30" s="398" t="s">
        <v>249</v>
      </c>
      <c r="B30" s="70"/>
      <c r="C30" s="70"/>
      <c r="D30" s="70"/>
      <c r="E30" s="70"/>
      <c r="F30" s="409">
        <v>0.03</v>
      </c>
      <c r="G30" s="70"/>
      <c r="H30" s="70"/>
      <c r="I30" s="70"/>
      <c r="J30" s="404"/>
      <c r="L30" s="17" t="s">
        <v>192</v>
      </c>
    </row>
    <row r="31" spans="1:10" ht="12.75">
      <c r="A31" s="398" t="s">
        <v>250</v>
      </c>
      <c r="B31" s="70"/>
      <c r="C31" s="70"/>
      <c r="D31" s="70"/>
      <c r="E31" s="70"/>
      <c r="F31" s="70"/>
      <c r="G31" s="70"/>
      <c r="H31" s="70"/>
      <c r="I31" s="70"/>
      <c r="J31" s="404"/>
    </row>
    <row r="32" spans="1:10" ht="12.75">
      <c r="A32" s="410"/>
      <c r="B32" s="70"/>
      <c r="C32" s="70"/>
      <c r="D32" s="70"/>
      <c r="E32" s="70"/>
      <c r="F32" s="70"/>
      <c r="G32" s="70"/>
      <c r="H32" s="70"/>
      <c r="I32" s="70"/>
      <c r="J32" s="404"/>
    </row>
    <row r="33" spans="1:12" ht="12.75">
      <c r="A33" s="398" t="s">
        <v>44</v>
      </c>
      <c r="B33" s="70"/>
      <c r="C33" s="70"/>
      <c r="D33" s="70"/>
      <c r="E33" s="70"/>
      <c r="F33" s="70"/>
      <c r="G33" s="70"/>
      <c r="H33" s="70"/>
      <c r="I33" s="70"/>
      <c r="J33" s="404"/>
      <c r="L33" s="109" t="s">
        <v>188</v>
      </c>
    </row>
    <row r="34" spans="1:12" ht="12.75">
      <c r="A34" s="398" t="s">
        <v>258</v>
      </c>
      <c r="B34" s="70"/>
      <c r="C34" s="70"/>
      <c r="D34" s="70"/>
      <c r="E34" s="70"/>
      <c r="F34" s="411">
        <v>0.75</v>
      </c>
      <c r="G34" s="70"/>
      <c r="H34" s="70"/>
      <c r="I34" s="70"/>
      <c r="J34" s="404"/>
      <c r="L34" s="17" t="s">
        <v>540</v>
      </c>
    </row>
    <row r="35" spans="1:12" ht="12.75">
      <c r="A35" s="398" t="s">
        <v>259</v>
      </c>
      <c r="B35" s="70"/>
      <c r="C35" s="70"/>
      <c r="D35" s="70"/>
      <c r="E35" s="70"/>
      <c r="F35" s="201">
        <v>0.03</v>
      </c>
      <c r="G35" s="70"/>
      <c r="H35" s="70"/>
      <c r="I35" s="70"/>
      <c r="J35" s="404"/>
      <c r="L35" s="17" t="s">
        <v>194</v>
      </c>
    </row>
    <row r="36" spans="1:12" ht="12.75">
      <c r="A36" s="398" t="s">
        <v>46</v>
      </c>
      <c r="B36" s="70"/>
      <c r="C36" s="70"/>
      <c r="D36" s="70"/>
      <c r="E36" s="70"/>
      <c r="F36" s="201">
        <v>0.06</v>
      </c>
      <c r="G36" s="70"/>
      <c r="H36" s="70"/>
      <c r="I36" s="70"/>
      <c r="J36" s="404"/>
      <c r="L36" s="17" t="s">
        <v>541</v>
      </c>
    </row>
    <row r="37" spans="1:12" ht="12.75">
      <c r="A37" s="398" t="s">
        <v>48</v>
      </c>
      <c r="B37" s="70"/>
      <c r="C37" s="70"/>
      <c r="D37" s="70"/>
      <c r="E37" s="70"/>
      <c r="F37" s="412">
        <f>F35+F34*F36</f>
        <v>0.075</v>
      </c>
      <c r="G37" s="70"/>
      <c r="H37" s="70"/>
      <c r="I37" s="70"/>
      <c r="J37" s="404"/>
      <c r="L37" s="17" t="s">
        <v>542</v>
      </c>
    </row>
    <row r="38" spans="1:10" ht="12.75">
      <c r="A38" s="398"/>
      <c r="B38" s="70"/>
      <c r="C38" s="70"/>
      <c r="D38" s="70"/>
      <c r="E38" s="70"/>
      <c r="F38" s="70"/>
      <c r="G38" s="70"/>
      <c r="H38" s="70"/>
      <c r="I38" s="70"/>
      <c r="J38" s="404"/>
    </row>
    <row r="39" spans="1:12" ht="12.75">
      <c r="A39" s="398" t="s">
        <v>252</v>
      </c>
      <c r="B39" s="70"/>
      <c r="C39" s="70"/>
      <c r="D39" s="70"/>
      <c r="E39" s="70"/>
      <c r="F39" s="70"/>
      <c r="G39" s="70"/>
      <c r="H39" s="70"/>
      <c r="I39" s="70"/>
      <c r="J39" s="404"/>
      <c r="L39" s="109" t="s">
        <v>189</v>
      </c>
    </row>
    <row r="40" spans="1:12" ht="12.75">
      <c r="A40" s="398" t="s">
        <v>45</v>
      </c>
      <c r="B40" s="70"/>
      <c r="C40" s="70"/>
      <c r="D40" s="70"/>
      <c r="E40" s="70"/>
      <c r="F40" s="528">
        <v>30500</v>
      </c>
      <c r="G40" s="70"/>
      <c r="H40" s="70"/>
      <c r="I40" s="70"/>
      <c r="J40" s="404"/>
      <c r="L40" s="17" t="s">
        <v>543</v>
      </c>
    </row>
    <row r="41" spans="1:12" ht="12.75">
      <c r="A41" s="398" t="s">
        <v>253</v>
      </c>
      <c r="B41" s="70"/>
      <c r="C41" s="70"/>
      <c r="D41" s="70"/>
      <c r="E41" s="70"/>
      <c r="F41" s="612">
        <f>-Forecasts!E63</f>
        <v>0.0365</v>
      </c>
      <c r="G41" s="70"/>
      <c r="H41" s="70"/>
      <c r="I41" s="70"/>
      <c r="J41" s="404"/>
      <c r="L41" s="180" t="s">
        <v>544</v>
      </c>
    </row>
    <row r="42" spans="1:12" ht="12.75">
      <c r="A42" s="398" t="s">
        <v>47</v>
      </c>
      <c r="B42" s="70"/>
      <c r="C42" s="70"/>
      <c r="D42" s="70"/>
      <c r="E42" s="70"/>
      <c r="F42" s="529">
        <f>Forecasts!E76</f>
        <v>-0.27</v>
      </c>
      <c r="G42" s="70"/>
      <c r="H42" s="70"/>
      <c r="I42" s="70"/>
      <c r="J42" s="404"/>
      <c r="L42" s="17" t="s">
        <v>545</v>
      </c>
    </row>
    <row r="43" spans="1:12" ht="12.75">
      <c r="A43" s="398" t="s">
        <v>185</v>
      </c>
      <c r="B43" s="70"/>
      <c r="C43" s="70"/>
      <c r="D43" s="70"/>
      <c r="E43" s="70"/>
      <c r="F43" s="414">
        <f>F41*(1+F42)</f>
        <v>0.026645</v>
      </c>
      <c r="G43" s="70"/>
      <c r="H43" s="70"/>
      <c r="I43" s="70"/>
      <c r="J43" s="404"/>
      <c r="L43" s="17" t="s">
        <v>195</v>
      </c>
    </row>
    <row r="44" spans="1:10" ht="12.75">
      <c r="A44" s="398"/>
      <c r="B44" s="70"/>
      <c r="C44" s="70"/>
      <c r="D44" s="70"/>
      <c r="E44" s="70"/>
      <c r="F44" s="70"/>
      <c r="G44" s="70"/>
      <c r="H44" s="70"/>
      <c r="I44" s="70"/>
      <c r="J44" s="404"/>
    </row>
    <row r="45" spans="1:12" ht="12.75">
      <c r="A45" s="398" t="s">
        <v>49</v>
      </c>
      <c r="B45" s="70"/>
      <c r="C45" s="70"/>
      <c r="D45" s="70"/>
      <c r="E45" s="70"/>
      <c r="F45" s="70"/>
      <c r="G45" s="70"/>
      <c r="H45" s="70"/>
      <c r="I45" s="70"/>
      <c r="J45" s="404"/>
      <c r="L45" s="109" t="s">
        <v>190</v>
      </c>
    </row>
    <row r="46" spans="1:12" ht="12.75">
      <c r="A46" s="398" t="s">
        <v>256</v>
      </c>
      <c r="B46" s="70"/>
      <c r="C46" s="70"/>
      <c r="D46" s="70"/>
      <c r="E46" s="70"/>
      <c r="F46" s="413">
        <v>0</v>
      </c>
      <c r="G46" s="70"/>
      <c r="H46" s="70"/>
      <c r="I46" s="70"/>
      <c r="J46" s="404"/>
      <c r="L46" s="566" t="s">
        <v>797</v>
      </c>
    </row>
    <row r="47" spans="1:12" ht="12.75">
      <c r="A47" s="398" t="s">
        <v>257</v>
      </c>
      <c r="B47" s="70"/>
      <c r="C47" s="70"/>
      <c r="D47" s="70"/>
      <c r="E47" s="70"/>
      <c r="F47" s="413">
        <v>0</v>
      </c>
      <c r="G47" s="70"/>
      <c r="H47" s="70"/>
      <c r="I47" s="70"/>
      <c r="J47" s="404"/>
      <c r="L47" s="17" t="s">
        <v>553</v>
      </c>
    </row>
    <row r="48" spans="1:12" ht="12.75">
      <c r="A48" s="398" t="s">
        <v>260</v>
      </c>
      <c r="B48" s="70"/>
      <c r="C48" s="70"/>
      <c r="D48" s="70"/>
      <c r="E48" s="70"/>
      <c r="F48" s="412">
        <v>0</v>
      </c>
      <c r="G48" s="70"/>
      <c r="H48" s="70"/>
      <c r="I48" s="70"/>
      <c r="J48" s="404"/>
      <c r="L48" s="17" t="s">
        <v>538</v>
      </c>
    </row>
    <row r="49" spans="1:10" ht="12.75">
      <c r="A49" s="398"/>
      <c r="B49" s="70"/>
      <c r="C49" s="70"/>
      <c r="D49" s="70"/>
      <c r="E49" s="70"/>
      <c r="F49" s="629"/>
      <c r="G49" s="70"/>
      <c r="H49" s="70"/>
      <c r="I49" s="70"/>
      <c r="J49" s="404"/>
    </row>
    <row r="50" spans="1:12" ht="12.75">
      <c r="A50" s="398" t="s">
        <v>798</v>
      </c>
      <c r="B50" s="70"/>
      <c r="C50" s="70"/>
      <c r="D50" s="70"/>
      <c r="E50" s="70"/>
      <c r="F50" s="70"/>
      <c r="G50" s="70"/>
      <c r="H50" s="70"/>
      <c r="I50" s="70"/>
      <c r="J50" s="404"/>
      <c r="L50" s="109" t="s">
        <v>793</v>
      </c>
    </row>
    <row r="51" spans="1:12" ht="12.75">
      <c r="A51" s="398" t="s">
        <v>799</v>
      </c>
      <c r="B51" s="70"/>
      <c r="C51" s="70"/>
      <c r="D51" s="70"/>
      <c r="E51" s="70"/>
      <c r="F51" s="413">
        <f>Forecasts!D240</f>
        <v>105</v>
      </c>
      <c r="G51" s="70"/>
      <c r="H51" s="70"/>
      <c r="I51" s="70"/>
      <c r="J51" s="404"/>
      <c r="L51" s="566" t="s">
        <v>794</v>
      </c>
    </row>
    <row r="52" spans="1:12" ht="12.75">
      <c r="A52" s="398" t="s">
        <v>800</v>
      </c>
      <c r="B52" s="70"/>
      <c r="C52" s="70"/>
      <c r="D52" s="70"/>
      <c r="E52" s="70"/>
      <c r="F52" s="630">
        <f>-Forecasts!E90</f>
        <v>10.5</v>
      </c>
      <c r="G52" s="70"/>
      <c r="H52" s="70"/>
      <c r="I52" s="70"/>
      <c r="J52" s="404"/>
      <c r="L52" s="566" t="s">
        <v>795</v>
      </c>
    </row>
    <row r="53" spans="1:12" ht="12.75">
      <c r="A53" s="398" t="s">
        <v>260</v>
      </c>
      <c r="B53" s="70"/>
      <c r="C53" s="70"/>
      <c r="D53" s="70"/>
      <c r="E53" s="70"/>
      <c r="F53" s="412">
        <f>F52/F51</f>
        <v>0.1</v>
      </c>
      <c r="G53" s="70"/>
      <c r="H53" s="70"/>
      <c r="I53" s="70"/>
      <c r="J53" s="404"/>
      <c r="L53" s="566" t="s">
        <v>796</v>
      </c>
    </row>
    <row r="54" spans="1:10" ht="12.75">
      <c r="A54" s="398"/>
      <c r="B54" s="70"/>
      <c r="C54" s="70"/>
      <c r="D54" s="70"/>
      <c r="E54" s="70"/>
      <c r="F54" s="70"/>
      <c r="G54" s="70"/>
      <c r="H54" s="70"/>
      <c r="I54" s="70"/>
      <c r="J54" s="404"/>
    </row>
    <row r="55" spans="1:12" ht="12.75">
      <c r="A55" s="398" t="s">
        <v>51</v>
      </c>
      <c r="B55" s="70"/>
      <c r="C55" s="70"/>
      <c r="D55" s="70"/>
      <c r="E55" s="70"/>
      <c r="F55" s="415"/>
      <c r="G55" s="70"/>
      <c r="H55" s="70"/>
      <c r="I55" s="70"/>
      <c r="J55" s="404"/>
      <c r="L55" s="109" t="s">
        <v>191</v>
      </c>
    </row>
    <row r="56" spans="1:12" ht="12.75">
      <c r="A56" s="398" t="s">
        <v>52</v>
      </c>
      <c r="B56" s="70"/>
      <c r="C56" s="70"/>
      <c r="D56" s="70"/>
      <c r="E56" s="70"/>
      <c r="F56" s="635">
        <f>$F$26/($F$26+$F$40+$F$46+$F$51)</f>
        <v>0.775394148226799</v>
      </c>
      <c r="G56" s="634"/>
      <c r="H56" s="70"/>
      <c r="I56" s="70"/>
      <c r="J56" s="404"/>
      <c r="L56" s="566" t="s">
        <v>803</v>
      </c>
    </row>
    <row r="57" spans="1:12" ht="12.75">
      <c r="A57" s="398" t="s">
        <v>53</v>
      </c>
      <c r="B57" s="70"/>
      <c r="C57" s="70"/>
      <c r="D57" s="70"/>
      <c r="E57" s="70"/>
      <c r="F57" s="635">
        <f>$F$40/($F$26+$F$40+$F$46+$F$51)</f>
        <v>0.22383527133091422</v>
      </c>
      <c r="G57" s="70"/>
      <c r="H57" s="70"/>
      <c r="I57" s="70"/>
      <c r="J57" s="404"/>
      <c r="L57" s="566" t="s">
        <v>804</v>
      </c>
    </row>
    <row r="58" spans="1:12" ht="12.75">
      <c r="A58" s="398" t="s">
        <v>54</v>
      </c>
      <c r="B58" s="70"/>
      <c r="C58" s="70"/>
      <c r="D58" s="70"/>
      <c r="E58" s="70"/>
      <c r="F58" s="635">
        <f>$F$46/($F$26+$F$40+$F$46+$F$51)</f>
        <v>0</v>
      </c>
      <c r="G58" s="70"/>
      <c r="H58" s="70"/>
      <c r="I58" s="70"/>
      <c r="J58" s="404"/>
      <c r="L58" s="566" t="s">
        <v>805</v>
      </c>
    </row>
    <row r="59" spans="1:12" ht="12.75">
      <c r="A59" s="398" t="s">
        <v>801</v>
      </c>
      <c r="B59" s="70"/>
      <c r="C59" s="70"/>
      <c r="D59" s="70"/>
      <c r="E59" s="70"/>
      <c r="F59" s="635">
        <f>$F$51/($F$26+$F$40+$F$46+$F$51)</f>
        <v>0.0007705804422867539</v>
      </c>
      <c r="G59" s="70"/>
      <c r="H59" s="70"/>
      <c r="I59" s="70"/>
      <c r="J59" s="404"/>
      <c r="L59" s="566" t="s">
        <v>802</v>
      </c>
    </row>
    <row r="60" spans="1:12" ht="12.75">
      <c r="A60" s="398" t="s">
        <v>55</v>
      </c>
      <c r="B60" s="70"/>
      <c r="C60" s="70"/>
      <c r="D60" s="70"/>
      <c r="E60" s="70"/>
      <c r="F60" s="412">
        <f>($F$56*$F$37)+($F$57*$F$43)+($F$58*$F$48)+($F$59*$F$53)</f>
        <v>0.06419570996585082</v>
      </c>
      <c r="G60" s="70"/>
      <c r="H60" s="70"/>
      <c r="I60" s="70"/>
      <c r="J60" s="404"/>
      <c r="L60" s="17" t="s">
        <v>549</v>
      </c>
    </row>
    <row r="61" spans="1:10" ht="13.5" thickBot="1">
      <c r="A61" s="416"/>
      <c r="B61" s="417"/>
      <c r="C61" s="417"/>
      <c r="D61" s="417"/>
      <c r="E61" s="417"/>
      <c r="F61" s="417"/>
      <c r="G61" s="417"/>
      <c r="H61" s="417"/>
      <c r="I61" s="417"/>
      <c r="J61" s="418"/>
    </row>
    <row r="62" spans="1:10" ht="13.5" thickTop="1">
      <c r="A62" s="70"/>
      <c r="B62" s="70"/>
      <c r="C62" s="70"/>
      <c r="D62" s="70"/>
      <c r="E62" s="70"/>
      <c r="F62" s="70"/>
      <c r="G62" s="70"/>
      <c r="H62" s="70"/>
      <c r="I62" s="70"/>
      <c r="J62" s="70"/>
    </row>
    <row r="63" spans="1:12" ht="13.5" thickBot="1">
      <c r="A63" s="70"/>
      <c r="B63" s="70"/>
      <c r="C63" s="70"/>
      <c r="D63" s="70"/>
      <c r="E63" s="70"/>
      <c r="F63" s="70"/>
      <c r="G63" s="70"/>
      <c r="H63" s="70"/>
      <c r="I63" s="70"/>
      <c r="J63" s="70"/>
      <c r="L63" s="607"/>
    </row>
    <row r="64" spans="1:12" ht="13.5" thickTop="1">
      <c r="A64" s="419" t="s">
        <v>474</v>
      </c>
      <c r="B64" s="420"/>
      <c r="C64" s="421" t="str">
        <f>C18</f>
        <v>VALUATION MODELS</v>
      </c>
      <c r="D64" s="421"/>
      <c r="E64" s="422"/>
      <c r="F64" s="422"/>
      <c r="G64" s="422"/>
      <c r="H64" s="422"/>
      <c r="I64" s="422"/>
      <c r="J64" s="423"/>
      <c r="L64" s="607"/>
    </row>
    <row r="65" spans="1:13" ht="12.75">
      <c r="A65" s="394" t="str">
        <f>Data!$A$9</f>
        <v>Analyst Name:</v>
      </c>
      <c r="B65" s="395"/>
      <c r="C65" s="188" t="str">
        <f>Data!$B$9</f>
        <v>Wahlen, Baginski &amp; Bradshaw</v>
      </c>
      <c r="D65" s="190"/>
      <c r="E65" s="185"/>
      <c r="F65" s="191"/>
      <c r="G65" s="191"/>
      <c r="H65" s="191"/>
      <c r="I65" s="191"/>
      <c r="J65" s="396"/>
      <c r="M65" s="624"/>
    </row>
    <row r="66" spans="1:10" ht="12.75">
      <c r="A66" s="394" t="str">
        <f>Data!$A$10</f>
        <v>Company Name:</v>
      </c>
      <c r="B66" s="397"/>
      <c r="C66" s="188" t="str">
        <f>Data!$B$10</f>
        <v>PepsiCo</v>
      </c>
      <c r="D66" s="185"/>
      <c r="E66" s="241"/>
      <c r="F66" s="191"/>
      <c r="G66" s="191"/>
      <c r="H66" s="191"/>
      <c r="I66" s="191"/>
      <c r="J66" s="396"/>
    </row>
    <row r="67" spans="1:10" ht="12.75">
      <c r="A67" s="424"/>
      <c r="B67" s="70"/>
      <c r="C67" s="425"/>
      <c r="D67" s="70"/>
      <c r="E67" s="70"/>
      <c r="F67" s="70"/>
      <c r="G67" s="70"/>
      <c r="H67" s="70"/>
      <c r="I67" s="70"/>
      <c r="J67" s="426" t="s">
        <v>56</v>
      </c>
    </row>
    <row r="68" spans="1:12" ht="12.75">
      <c r="A68" s="424"/>
      <c r="B68" s="70"/>
      <c r="C68" s="425"/>
      <c r="D68" s="70"/>
      <c r="E68" s="427">
        <v>1</v>
      </c>
      <c r="F68" s="427">
        <v>2</v>
      </c>
      <c r="G68" s="427">
        <v>3</v>
      </c>
      <c r="H68" s="427">
        <v>4</v>
      </c>
      <c r="I68" s="427">
        <v>5</v>
      </c>
      <c r="J68" s="428" t="s">
        <v>57</v>
      </c>
      <c r="L68" s="109" t="s">
        <v>209</v>
      </c>
    </row>
    <row r="69" spans="1:12" ht="12.75">
      <c r="A69" s="429" t="s">
        <v>198</v>
      </c>
      <c r="B69" s="430"/>
      <c r="C69" s="430"/>
      <c r="D69" s="430"/>
      <c r="E69" s="431" t="s">
        <v>484</v>
      </c>
      <c r="F69" s="431" t="s">
        <v>485</v>
      </c>
      <c r="G69" s="431" t="s">
        <v>486</v>
      </c>
      <c r="H69" s="431" t="s">
        <v>487</v>
      </c>
      <c r="I69" s="431" t="s">
        <v>488</v>
      </c>
      <c r="J69" s="432" t="s">
        <v>489</v>
      </c>
      <c r="L69" s="433" t="s">
        <v>220</v>
      </c>
    </row>
    <row r="70" spans="1:10" ht="12.75">
      <c r="A70" s="434"/>
      <c r="B70" s="70"/>
      <c r="C70" s="70"/>
      <c r="D70" s="70"/>
      <c r="E70" s="152"/>
      <c r="F70" s="152"/>
      <c r="G70" s="152"/>
      <c r="H70" s="152"/>
      <c r="I70" s="152"/>
      <c r="J70" s="426"/>
    </row>
    <row r="71" spans="1:12" ht="12.75">
      <c r="A71" s="435" t="s">
        <v>89</v>
      </c>
      <c r="B71" s="70"/>
      <c r="C71" s="70"/>
      <c r="D71" s="70"/>
      <c r="E71" s="436">
        <f>Forecasts!E261-Forecasts!E258</f>
        <v>3386.760932066237</v>
      </c>
      <c r="F71" s="229">
        <f>Forecasts!F261-Forecasts!F258</f>
        <v>3507.134164015406</v>
      </c>
      <c r="G71" s="229">
        <f>Forecasts!G261-Forecasts!G258</f>
        <v>3629.079728907488</v>
      </c>
      <c r="H71" s="229">
        <f>Forecasts!H261-Forecasts!H258</f>
        <v>3834.696417788015</v>
      </c>
      <c r="I71" s="229">
        <f>Forecasts!I261-Forecasts!I258</f>
        <v>3885.30283852023</v>
      </c>
      <c r="J71" s="622"/>
      <c r="L71" s="17" t="s">
        <v>550</v>
      </c>
    </row>
    <row r="72" spans="1:12" ht="12.75">
      <c r="A72" s="398" t="s">
        <v>90</v>
      </c>
      <c r="B72" s="70"/>
      <c r="C72" s="70"/>
      <c r="D72" s="70"/>
      <c r="E72" s="436">
        <f>Forecasts!D225-Forecasts!E225</f>
        <v>-44.895215011568325</v>
      </c>
      <c r="F72" s="229">
        <f>Forecasts!E225-Forecasts!F225</f>
        <v>-151.9767209088477</v>
      </c>
      <c r="G72" s="229">
        <f>Forecasts!F225-Forecasts!G225</f>
        <v>-154.0645537138189</v>
      </c>
      <c r="H72" s="229">
        <f>Forecasts!G225-Forecasts!H225</f>
        <v>-224.56010685855927</v>
      </c>
      <c r="I72" s="229">
        <f>Forecasts!H225-Forecasts!I225</f>
        <v>-94.11675663070855</v>
      </c>
      <c r="J72" s="622"/>
      <c r="L72" s="17" t="s">
        <v>551</v>
      </c>
    </row>
    <row r="73" spans="1:12" ht="12.75">
      <c r="A73" s="434" t="s">
        <v>91</v>
      </c>
      <c r="B73" s="70"/>
      <c r="C73" s="70"/>
      <c r="D73" s="70"/>
      <c r="E73" s="662">
        <f>Forecasts!D234-Forecasts!E234</f>
        <v>3149.542566070537</v>
      </c>
      <c r="F73" s="665">
        <f>Forecasts!E234-Forecasts!F234</f>
        <v>2623.888959977645</v>
      </c>
      <c r="G73" s="665">
        <f>Forecasts!F234-Forecasts!G234</f>
        <v>2791.7149036718474</v>
      </c>
      <c r="H73" s="665">
        <f>Forecasts!G234-Forecasts!H234</f>
        <v>2851.9937819984625</v>
      </c>
      <c r="I73" s="665">
        <f>Forecasts!H234-Forecasts!I234</f>
        <v>3216.7752690200286</v>
      </c>
      <c r="J73" s="622"/>
      <c r="L73" s="17" t="s">
        <v>552</v>
      </c>
    </row>
    <row r="74" spans="1:12" ht="12.75">
      <c r="A74" s="429" t="s">
        <v>247</v>
      </c>
      <c r="B74" s="438"/>
      <c r="C74" s="438"/>
      <c r="D74" s="438"/>
      <c r="E74" s="439">
        <f>SUM(E71:E73)</f>
        <v>6491.408283125205</v>
      </c>
      <c r="F74" s="623">
        <f>SUM(F71:F73)</f>
        <v>5979.046403084203</v>
      </c>
      <c r="G74" s="623">
        <f>SUM(G71:G73)</f>
        <v>6266.730078865517</v>
      </c>
      <c r="H74" s="623">
        <f>SUM(H71:H73)</f>
        <v>6462.130092927919</v>
      </c>
      <c r="I74" s="623">
        <f>SUM(I71:I73)</f>
        <v>7007.961350909551</v>
      </c>
      <c r="J74" s="636">
        <f>(Forecasts!J100-Forecasts!J258)-(Forecasts!J225+Forecasts!J228+Forecasts!J231+Forecasts!J234-Forecasts!I225-Forecasts!I228-Forecasts!I231-Forecasts!I234)</f>
        <v>6576.639561243591</v>
      </c>
      <c r="K74" s="628"/>
      <c r="L74" s="17" t="s">
        <v>560</v>
      </c>
    </row>
    <row r="75" spans="1:10" ht="12.75">
      <c r="A75" s="398"/>
      <c r="B75" s="70"/>
      <c r="C75" s="70"/>
      <c r="D75" s="70"/>
      <c r="E75" s="152"/>
      <c r="F75" s="152"/>
      <c r="G75" s="152"/>
      <c r="H75" s="152"/>
      <c r="I75" s="152"/>
      <c r="J75" s="426"/>
    </row>
    <row r="76" spans="1:12" ht="12.75">
      <c r="A76" s="434" t="s">
        <v>63</v>
      </c>
      <c r="B76" s="214"/>
      <c r="C76" s="214"/>
      <c r="D76" s="214"/>
      <c r="E76" s="666">
        <f>1/(1+$F$37)^E68</f>
        <v>0.9302325581395349</v>
      </c>
      <c r="F76" s="666">
        <f>1/(1+$F$37)^F68</f>
        <v>0.8653326122228232</v>
      </c>
      <c r="G76" s="666">
        <f>1/(1+$F$37)^G68</f>
        <v>0.804960569509603</v>
      </c>
      <c r="H76" s="666">
        <f>1/(1+$F$37)^H68</f>
        <v>0.7488005297763749</v>
      </c>
      <c r="I76" s="666">
        <f>1/(1+$F$37)^I68</f>
        <v>0.6965586323501162</v>
      </c>
      <c r="J76" s="441"/>
      <c r="L76" s="17" t="s">
        <v>554</v>
      </c>
    </row>
    <row r="77" spans="1:10" ht="12.75">
      <c r="A77" s="434" t="s">
        <v>671</v>
      </c>
      <c r="B77" s="214"/>
      <c r="C77" s="214"/>
      <c r="D77" s="214"/>
      <c r="E77" s="664">
        <f>E74*E76</f>
        <v>6038.519333139726</v>
      </c>
      <c r="F77" s="664">
        <f>F74*F76</f>
        <v>5173.863842582328</v>
      </c>
      <c r="G77" s="664">
        <f>G74*G76</f>
        <v>5044.470613246546</v>
      </c>
      <c r="H77" s="664">
        <f>H74*H76</f>
        <v>4838.8464370682805</v>
      </c>
      <c r="I77" s="664">
        <f>I74*I76</f>
        <v>4881.455974152029</v>
      </c>
      <c r="J77" s="437"/>
    </row>
    <row r="78" spans="1:12" ht="12.75">
      <c r="A78" s="434" t="s">
        <v>672</v>
      </c>
      <c r="B78" s="214"/>
      <c r="C78" s="214"/>
      <c r="D78" s="214"/>
      <c r="E78" s="436">
        <f>SUM(E77:I77)</f>
        <v>25977.15620018891</v>
      </c>
      <c r="F78" s="436"/>
      <c r="G78" s="436"/>
      <c r="H78" s="436"/>
      <c r="I78" s="436"/>
      <c r="J78" s="442"/>
      <c r="L78" s="17" t="s">
        <v>205</v>
      </c>
    </row>
    <row r="79" spans="1:12" ht="12.75">
      <c r="A79" s="398" t="s">
        <v>673</v>
      </c>
      <c r="B79" s="70"/>
      <c r="C79" s="70"/>
      <c r="D79" s="70"/>
      <c r="E79" s="667">
        <f>J74/($F$37-$F$30)*$I$76</f>
        <v>101800.33462754452</v>
      </c>
      <c r="F79" s="517"/>
      <c r="G79" s="443"/>
      <c r="H79" s="443"/>
      <c r="I79" s="443"/>
      <c r="J79" s="444"/>
      <c r="L79" s="17" t="s">
        <v>206</v>
      </c>
    </row>
    <row r="80" spans="1:10" ht="12.75">
      <c r="A80" s="398" t="s">
        <v>810</v>
      </c>
      <c r="B80" s="70"/>
      <c r="C80" s="70"/>
      <c r="D80" s="70"/>
      <c r="E80" s="443">
        <f>E78+E79</f>
        <v>127777.49082773343</v>
      </c>
      <c r="F80" s="436"/>
      <c r="G80" s="443"/>
      <c r="H80" s="443"/>
      <c r="I80" s="443"/>
      <c r="J80" s="444"/>
    </row>
    <row r="81" spans="1:12" ht="12.75">
      <c r="A81" s="434" t="s">
        <v>64</v>
      </c>
      <c r="B81" s="214"/>
      <c r="C81" s="214"/>
      <c r="D81" s="214"/>
      <c r="E81" s="668">
        <f>(1+$F$37/2)</f>
        <v>1.0375</v>
      </c>
      <c r="F81" s="70"/>
      <c r="G81" s="70"/>
      <c r="H81" s="70"/>
      <c r="I81" s="70"/>
      <c r="J81" s="404"/>
      <c r="L81" s="17" t="s">
        <v>204</v>
      </c>
    </row>
    <row r="82" spans="1:10" ht="12.75">
      <c r="A82" s="434" t="s">
        <v>817</v>
      </c>
      <c r="B82" s="214"/>
      <c r="C82" s="214"/>
      <c r="D82" s="214"/>
      <c r="E82" s="445">
        <f>E80*E81</f>
        <v>132569.14673377344</v>
      </c>
      <c r="F82" s="70"/>
      <c r="G82" s="70"/>
      <c r="H82" s="70"/>
      <c r="I82" s="70"/>
      <c r="J82" s="404"/>
    </row>
    <row r="83" spans="1:10" ht="12.75">
      <c r="A83" s="434" t="s">
        <v>65</v>
      </c>
      <c r="B83" s="214"/>
      <c r="C83" s="214"/>
      <c r="D83" s="214"/>
      <c r="E83" s="445">
        <f>$F$25</f>
        <v>1544</v>
      </c>
      <c r="F83" s="70"/>
      <c r="G83" s="70"/>
      <c r="H83" s="70"/>
      <c r="I83" s="70"/>
      <c r="J83" s="404"/>
    </row>
    <row r="84" spans="1:12" ht="13.5" thickBot="1">
      <c r="A84" s="434" t="s">
        <v>809</v>
      </c>
      <c r="B84" s="214"/>
      <c r="C84" s="214"/>
      <c r="D84" s="214"/>
      <c r="E84" s="669">
        <f>E82/E83</f>
        <v>85.86084633016414</v>
      </c>
      <c r="F84" s="70"/>
      <c r="G84" s="70"/>
      <c r="H84" s="70"/>
      <c r="I84" s="70"/>
      <c r="J84" s="404"/>
      <c r="L84" s="17" t="s">
        <v>207</v>
      </c>
    </row>
    <row r="85" spans="1:10" ht="13.5" thickTop="1">
      <c r="A85" s="398"/>
      <c r="B85" s="70"/>
      <c r="C85" s="70"/>
      <c r="D85" s="70"/>
      <c r="E85" s="70"/>
      <c r="F85" s="70"/>
      <c r="G85" s="70"/>
      <c r="H85" s="70"/>
      <c r="I85" s="70"/>
      <c r="J85" s="404"/>
    </row>
    <row r="86" spans="1:10" ht="12.75">
      <c r="A86" s="398" t="s">
        <v>50</v>
      </c>
      <c r="B86" s="70"/>
      <c r="C86" s="70"/>
      <c r="D86" s="70"/>
      <c r="E86" s="446">
        <f>$F$24</f>
        <v>68.43</v>
      </c>
      <c r="F86" s="70"/>
      <c r="G86" s="70"/>
      <c r="H86" s="70"/>
      <c r="I86" s="70"/>
      <c r="J86" s="404"/>
    </row>
    <row r="87" spans="1:12" ht="12.75">
      <c r="A87" s="398" t="s">
        <v>66</v>
      </c>
      <c r="B87" s="70"/>
      <c r="C87" s="70"/>
      <c r="D87" s="70"/>
      <c r="E87" s="514">
        <f>E84/E86-1</f>
        <v>0.2547252130668438</v>
      </c>
      <c r="F87" s="70"/>
      <c r="G87" s="70"/>
      <c r="H87" s="70"/>
      <c r="I87" s="70"/>
      <c r="J87" s="404"/>
      <c r="L87" s="17" t="s">
        <v>67</v>
      </c>
    </row>
    <row r="88" spans="1:10" ht="13.5" thickBot="1">
      <c r="A88" s="416"/>
      <c r="B88" s="447"/>
      <c r="C88" s="447"/>
      <c r="D88" s="447"/>
      <c r="E88" s="447"/>
      <c r="F88" s="447"/>
      <c r="G88" s="447"/>
      <c r="H88" s="447"/>
      <c r="I88" s="447"/>
      <c r="J88" s="448"/>
    </row>
    <row r="89" spans="1:10" ht="13.5" thickTop="1">
      <c r="A89" s="80"/>
      <c r="B89" s="80"/>
      <c r="C89" s="80"/>
      <c r="D89" s="80"/>
      <c r="E89" s="80"/>
      <c r="F89" s="80"/>
      <c r="G89" s="80"/>
      <c r="H89" s="80"/>
      <c r="I89" s="80"/>
      <c r="J89" s="80"/>
    </row>
    <row r="90" spans="1:10" ht="13.5" thickBot="1">
      <c r="A90" s="80"/>
      <c r="B90" s="80"/>
      <c r="C90" s="80"/>
      <c r="D90" s="80"/>
      <c r="E90" s="80"/>
      <c r="F90" s="80"/>
      <c r="G90" s="80"/>
      <c r="H90" s="80"/>
      <c r="I90" s="80"/>
      <c r="J90" s="80"/>
    </row>
    <row r="91" spans="1:10" ht="13.5" thickTop="1">
      <c r="A91" s="419" t="s">
        <v>474</v>
      </c>
      <c r="B91" s="420"/>
      <c r="C91" s="421" t="str">
        <f>C18</f>
        <v>VALUATION MODELS</v>
      </c>
      <c r="D91" s="421"/>
      <c r="E91" s="422"/>
      <c r="F91" s="422"/>
      <c r="G91" s="422"/>
      <c r="H91" s="422"/>
      <c r="I91" s="422"/>
      <c r="J91" s="423"/>
    </row>
    <row r="92" spans="1:10" ht="12.75">
      <c r="A92" s="394" t="str">
        <f>Data!$A$9</f>
        <v>Analyst Name:</v>
      </c>
      <c r="B92" s="395"/>
      <c r="C92" s="188" t="str">
        <f>Data!$B$9</f>
        <v>Wahlen, Baginski &amp; Bradshaw</v>
      </c>
      <c r="D92" s="190"/>
      <c r="E92" s="185"/>
      <c r="F92" s="191"/>
      <c r="G92" s="191"/>
      <c r="H92" s="191"/>
      <c r="I92" s="191"/>
      <c r="J92" s="396"/>
    </row>
    <row r="93" spans="1:10" ht="12.75">
      <c r="A93" s="394" t="str">
        <f>Data!$A$10</f>
        <v>Company Name:</v>
      </c>
      <c r="B93" s="397"/>
      <c r="C93" s="188" t="str">
        <f>Data!$B$10</f>
        <v>PepsiCo</v>
      </c>
      <c r="D93" s="185"/>
      <c r="E93" s="241"/>
      <c r="F93" s="191"/>
      <c r="G93" s="191"/>
      <c r="H93" s="191"/>
      <c r="I93" s="191"/>
      <c r="J93" s="396"/>
    </row>
    <row r="94" spans="1:10" ht="12.75">
      <c r="A94" s="424"/>
      <c r="B94" s="70"/>
      <c r="C94" s="425"/>
      <c r="D94" s="70"/>
      <c r="E94" s="70"/>
      <c r="F94" s="70"/>
      <c r="G94" s="70"/>
      <c r="H94" s="70"/>
      <c r="I94" s="70"/>
      <c r="J94" s="426" t="s">
        <v>56</v>
      </c>
    </row>
    <row r="95" spans="1:12" ht="12.75">
      <c r="A95" s="70"/>
      <c r="B95" s="70"/>
      <c r="C95" s="70"/>
      <c r="D95" s="70"/>
      <c r="E95" s="427">
        <v>1</v>
      </c>
      <c r="F95" s="427">
        <v>2</v>
      </c>
      <c r="G95" s="427">
        <v>3</v>
      </c>
      <c r="H95" s="427">
        <v>4</v>
      </c>
      <c r="I95" s="427">
        <v>5</v>
      </c>
      <c r="J95" s="428" t="s">
        <v>57</v>
      </c>
      <c r="L95" s="109" t="s">
        <v>527</v>
      </c>
    </row>
    <row r="96" spans="1:12" ht="12.75">
      <c r="A96" s="429" t="s">
        <v>197</v>
      </c>
      <c r="B96" s="430"/>
      <c r="C96" s="430"/>
      <c r="D96" s="430"/>
      <c r="E96" s="431" t="s">
        <v>484</v>
      </c>
      <c r="F96" s="431" t="s">
        <v>485</v>
      </c>
      <c r="G96" s="431" t="s">
        <v>486</v>
      </c>
      <c r="H96" s="431" t="s">
        <v>487</v>
      </c>
      <c r="I96" s="431" t="s">
        <v>488</v>
      </c>
      <c r="J96" s="432" t="s">
        <v>489</v>
      </c>
      <c r="L96" s="433" t="s">
        <v>218</v>
      </c>
    </row>
    <row r="97" spans="1:10" ht="12.75">
      <c r="A97" s="434"/>
      <c r="B97" s="70"/>
      <c r="C97" s="70"/>
      <c r="D97" s="70"/>
      <c r="E97" s="152"/>
      <c r="F97" s="152"/>
      <c r="G97" s="152"/>
      <c r="H97" s="152"/>
      <c r="I97" s="152"/>
      <c r="J97" s="426"/>
    </row>
    <row r="98" spans="1:12" ht="12.75">
      <c r="A98" s="434" t="s">
        <v>58</v>
      </c>
      <c r="B98" s="70"/>
      <c r="C98" s="70"/>
      <c r="D98" s="70"/>
      <c r="E98" s="449">
        <f>Forecasts!E300</f>
        <v>9104.259783352081</v>
      </c>
      <c r="F98" s="449">
        <f>Forecasts!F300</f>
        <v>9850.259050283235</v>
      </c>
      <c r="G98" s="449">
        <f>Forecasts!G300</f>
        <v>10344.020821923716</v>
      </c>
      <c r="H98" s="449">
        <f>Forecasts!H300</f>
        <v>11221.683084640259</v>
      </c>
      <c r="I98" s="449">
        <f>Forecasts!I300</f>
        <v>11113.736447530686</v>
      </c>
      <c r="J98" s="450">
        <f>Forecasts!J300</f>
        <v>8764.380050608102</v>
      </c>
      <c r="L98" s="17" t="s">
        <v>556</v>
      </c>
    </row>
    <row r="99" spans="1:12" ht="12.75">
      <c r="A99" s="434" t="s">
        <v>202</v>
      </c>
      <c r="B99" s="70"/>
      <c r="C99" s="70"/>
      <c r="D99" s="70"/>
      <c r="E99" s="449">
        <f>-Forecasts!E318</f>
        <v>1065.3403682191865</v>
      </c>
      <c r="F99" s="449">
        <f>-Forecasts!F318</f>
        <v>-218.31316284362947</v>
      </c>
      <c r="G99" s="449">
        <f>-Forecasts!G318</f>
        <v>-229.6391544945718</v>
      </c>
      <c r="H99" s="449">
        <f>-Forecasts!H318</f>
        <v>-355.508377202611</v>
      </c>
      <c r="I99" s="449">
        <f>-Forecasts!I318</f>
        <v>-140.5281599823029</v>
      </c>
      <c r="J99" s="450">
        <f>-Forecasts!J318</f>
        <v>-185.26945458909813</v>
      </c>
      <c r="L99" s="180" t="s">
        <v>200</v>
      </c>
    </row>
    <row r="100" spans="1:12" ht="12.75">
      <c r="A100" s="435" t="s">
        <v>62</v>
      </c>
      <c r="B100" s="70"/>
      <c r="C100" s="70"/>
      <c r="D100" s="70"/>
      <c r="E100" s="449">
        <f>Forecasts!E308</f>
        <v>-4480.5739014475075</v>
      </c>
      <c r="F100" s="449">
        <f>Forecasts!F308</f>
        <v>-4974.807427380033</v>
      </c>
      <c r="G100" s="449">
        <f>Forecasts!G308</f>
        <v>-5207.380090946651</v>
      </c>
      <c r="H100" s="449">
        <f>Forecasts!H308</f>
        <v>-6280.157698994183</v>
      </c>
      <c r="I100" s="449">
        <f>Forecasts!I308</f>
        <v>-4955.393246759002</v>
      </c>
      <c r="J100" s="450">
        <f>Forecasts!J308</f>
        <v>-3035.8593709658253</v>
      </c>
      <c r="L100" s="17" t="s">
        <v>557</v>
      </c>
    </row>
    <row r="101" spans="1:12" ht="12.75">
      <c r="A101" s="398" t="s">
        <v>811</v>
      </c>
      <c r="B101" s="70"/>
      <c r="C101" s="70"/>
      <c r="D101" s="70"/>
      <c r="E101" s="449">
        <f>Forecasts!E309+Forecasts!E310</f>
        <v>752.882033001445</v>
      </c>
      <c r="F101" s="449">
        <f>Forecasts!F309+Forecasts!F310</f>
        <v>1332.407943024632</v>
      </c>
      <c r="G101" s="449">
        <f>Forecasts!G309+Forecasts!G310</f>
        <v>1370.2285023830245</v>
      </c>
      <c r="H101" s="449">
        <f>Forecasts!H309+Forecasts!H310</f>
        <v>1886.613084484452</v>
      </c>
      <c r="I101" s="449">
        <f>Forecasts!I309+Forecasts!I310</f>
        <v>1000.6463101201653</v>
      </c>
      <c r="J101" s="450">
        <f>Forecasts!J309+Forecasts!J310</f>
        <v>1041.0533361904136</v>
      </c>
      <c r="L101" s="17" t="s">
        <v>558</v>
      </c>
    </row>
    <row r="102" spans="1:12" ht="12.75">
      <c r="A102" s="398" t="s">
        <v>812</v>
      </c>
      <c r="B102" s="70"/>
      <c r="C102" s="70"/>
      <c r="D102" s="70"/>
      <c r="E102" s="449">
        <f aca="true" t="shared" si="0" ref="E102:J102">-E253</f>
        <v>0</v>
      </c>
      <c r="F102" s="449">
        <f t="shared" si="0"/>
        <v>0</v>
      </c>
      <c r="G102" s="449">
        <f t="shared" si="0"/>
        <v>0</v>
      </c>
      <c r="H102" s="449">
        <f t="shared" si="0"/>
        <v>0</v>
      </c>
      <c r="I102" s="449">
        <f t="shared" si="0"/>
        <v>0</v>
      </c>
      <c r="J102" s="450">
        <f t="shared" si="0"/>
        <v>0</v>
      </c>
      <c r="L102" s="180" t="s">
        <v>199</v>
      </c>
    </row>
    <row r="103" spans="1:12" ht="13.5">
      <c r="A103" s="434" t="s">
        <v>813</v>
      </c>
      <c r="B103" s="70"/>
      <c r="C103" s="70"/>
      <c r="D103" s="70"/>
      <c r="E103" s="648">
        <f>Forecasts!E311-Forecasts!E258+Forecasts!E316</f>
        <v>49.5</v>
      </c>
      <c r="F103" s="648">
        <f>Forecasts!F311-Forecasts!F258+Forecasts!F316</f>
        <v>-10.5</v>
      </c>
      <c r="G103" s="648">
        <f>Forecasts!G311-Forecasts!G258+Forecasts!G316</f>
        <v>-10.5</v>
      </c>
      <c r="H103" s="648">
        <f>Forecasts!H311-Forecasts!H258+Forecasts!H316</f>
        <v>-10.5</v>
      </c>
      <c r="I103" s="648">
        <f>Forecasts!I311-Forecasts!I258+Forecasts!I316</f>
        <v>-10.5</v>
      </c>
      <c r="J103" s="648">
        <f>Forecasts!J311-Forecasts!J258+Forecasts!J316</f>
        <v>-7.664999999999994</v>
      </c>
      <c r="L103" s="17" t="s">
        <v>559</v>
      </c>
    </row>
    <row r="104" spans="1:12" ht="12.75">
      <c r="A104" s="429" t="s">
        <v>68</v>
      </c>
      <c r="B104" s="438"/>
      <c r="C104" s="438"/>
      <c r="D104" s="438"/>
      <c r="E104" s="451">
        <f aca="true" t="shared" si="1" ref="E104:J104">SUM(E98:E103)</f>
        <v>6491.408283125204</v>
      </c>
      <c r="F104" s="451">
        <f t="shared" si="1"/>
        <v>5979.046403084205</v>
      </c>
      <c r="G104" s="451">
        <f t="shared" si="1"/>
        <v>6266.730078865518</v>
      </c>
      <c r="H104" s="451">
        <f t="shared" si="1"/>
        <v>6462.130092927916</v>
      </c>
      <c r="I104" s="451">
        <f t="shared" si="1"/>
        <v>7007.961350909546</v>
      </c>
      <c r="J104" s="452">
        <f t="shared" si="1"/>
        <v>6576.639561243592</v>
      </c>
      <c r="L104" s="17" t="s">
        <v>561</v>
      </c>
    </row>
    <row r="105" spans="1:10" ht="12.75">
      <c r="A105" s="398"/>
      <c r="B105" s="70"/>
      <c r="C105" s="70"/>
      <c r="D105" s="70"/>
      <c r="E105" s="453"/>
      <c r="F105" s="453"/>
      <c r="G105" s="453"/>
      <c r="H105" s="453"/>
      <c r="I105" s="453"/>
      <c r="J105" s="454"/>
    </row>
    <row r="106" spans="1:12" ht="12.75">
      <c r="A106" s="434" t="s">
        <v>63</v>
      </c>
      <c r="B106" s="214"/>
      <c r="C106" s="214"/>
      <c r="D106" s="214"/>
      <c r="E106" s="455">
        <f>1/(1+$F$37)^E95</f>
        <v>0.9302325581395349</v>
      </c>
      <c r="F106" s="455">
        <f>1/(1+$F$37)^F95</f>
        <v>0.8653326122228232</v>
      </c>
      <c r="G106" s="455">
        <f>1/(1+$F$37)^G95</f>
        <v>0.804960569509603</v>
      </c>
      <c r="H106" s="455">
        <f>1/(1+$F$37)^H95</f>
        <v>0.7488005297763749</v>
      </c>
      <c r="I106" s="455">
        <f>1/(1+$F$37)^I95</f>
        <v>0.6965586323501162</v>
      </c>
      <c r="J106" s="456"/>
      <c r="L106" s="17" t="s">
        <v>554</v>
      </c>
    </row>
    <row r="107" spans="1:10" ht="12.75">
      <c r="A107" s="434" t="s">
        <v>674</v>
      </c>
      <c r="B107" s="214"/>
      <c r="C107" s="214"/>
      <c r="D107" s="214"/>
      <c r="E107" s="645">
        <f>E104*E106</f>
        <v>6038.519333139725</v>
      </c>
      <c r="F107" s="645">
        <f>F104*F106</f>
        <v>5173.86384258233</v>
      </c>
      <c r="G107" s="645">
        <f>G104*G106</f>
        <v>5044.470613246547</v>
      </c>
      <c r="H107" s="645">
        <f>H104*H106</f>
        <v>4838.846437068279</v>
      </c>
      <c r="I107" s="645">
        <f>I104*I106</f>
        <v>4881.455974152026</v>
      </c>
      <c r="J107" s="450"/>
    </row>
    <row r="108" spans="1:12" ht="12.75">
      <c r="A108" s="434" t="s">
        <v>675</v>
      </c>
      <c r="B108" s="214"/>
      <c r="C108" s="214"/>
      <c r="D108" s="214"/>
      <c r="E108" s="449">
        <f>SUM(E107:I107)</f>
        <v>25977.156200188903</v>
      </c>
      <c r="F108" s="449"/>
      <c r="G108" s="449"/>
      <c r="H108" s="449"/>
      <c r="I108" s="449"/>
      <c r="J108" s="457"/>
      <c r="L108" s="17" t="s">
        <v>514</v>
      </c>
    </row>
    <row r="109" spans="1:12" ht="12.75">
      <c r="A109" s="398" t="s">
        <v>673</v>
      </c>
      <c r="B109" s="70"/>
      <c r="C109" s="70"/>
      <c r="D109" s="70"/>
      <c r="E109" s="650">
        <f>J104/($F$37-$F$30)*I106</f>
        <v>101800.33462754455</v>
      </c>
      <c r="F109" s="458"/>
      <c r="G109" s="70"/>
      <c r="H109" s="70"/>
      <c r="I109" s="70"/>
      <c r="J109" s="404"/>
      <c r="L109" s="17" t="s">
        <v>221</v>
      </c>
    </row>
    <row r="110" spans="1:10" ht="12.75">
      <c r="A110" s="398" t="s">
        <v>810</v>
      </c>
      <c r="B110" s="70"/>
      <c r="C110" s="70"/>
      <c r="D110" s="70"/>
      <c r="E110" s="458">
        <f>E108+E109</f>
        <v>127777.49082773345</v>
      </c>
      <c r="F110" s="449"/>
      <c r="G110" s="70"/>
      <c r="H110" s="70"/>
      <c r="I110" s="70"/>
      <c r="J110" s="404"/>
    </row>
    <row r="111" spans="1:12" ht="12.75">
      <c r="A111" s="434" t="s">
        <v>64</v>
      </c>
      <c r="B111" s="214"/>
      <c r="C111" s="214"/>
      <c r="D111" s="214"/>
      <c r="E111" s="651">
        <f>(1+$F$37/2)</f>
        <v>1.0375</v>
      </c>
      <c r="F111" s="453"/>
      <c r="G111" s="70"/>
      <c r="H111" s="70"/>
      <c r="I111" s="70"/>
      <c r="J111" s="404"/>
      <c r="L111" s="17" t="s">
        <v>204</v>
      </c>
    </row>
    <row r="112" spans="1:10" ht="12.75">
      <c r="A112" s="434" t="s">
        <v>814</v>
      </c>
      <c r="B112" s="214"/>
      <c r="C112" s="214"/>
      <c r="D112" s="214"/>
      <c r="E112" s="449">
        <f>E110*E111</f>
        <v>132569.14673377346</v>
      </c>
      <c r="F112" s="453"/>
      <c r="G112" s="70"/>
      <c r="H112" s="70"/>
      <c r="I112" s="70"/>
      <c r="J112" s="404"/>
    </row>
    <row r="113" spans="1:10" ht="12.75">
      <c r="A113" s="434" t="s">
        <v>65</v>
      </c>
      <c r="B113" s="214"/>
      <c r="C113" s="214"/>
      <c r="D113" s="214"/>
      <c r="E113" s="449">
        <f>$F$25</f>
        <v>1544</v>
      </c>
      <c r="F113" s="453"/>
      <c r="G113" s="70"/>
      <c r="H113" s="70"/>
      <c r="I113" s="70"/>
      <c r="J113" s="404"/>
    </row>
    <row r="114" spans="1:12" ht="13.5" thickBot="1">
      <c r="A114" s="434" t="s">
        <v>809</v>
      </c>
      <c r="B114" s="214"/>
      <c r="C114" s="214"/>
      <c r="D114" s="214"/>
      <c r="E114" s="652">
        <f>E112/E113</f>
        <v>85.86084633016416</v>
      </c>
      <c r="F114" s="453"/>
      <c r="G114" s="70"/>
      <c r="H114" s="70"/>
      <c r="I114" s="70"/>
      <c r="J114" s="404"/>
      <c r="L114" s="17" t="s">
        <v>207</v>
      </c>
    </row>
    <row r="115" spans="1:10" ht="13.5" thickTop="1">
      <c r="A115" s="398"/>
      <c r="B115" s="70"/>
      <c r="C115" s="70"/>
      <c r="D115" s="70"/>
      <c r="E115" s="453"/>
      <c r="F115" s="453"/>
      <c r="G115" s="70"/>
      <c r="H115" s="70"/>
      <c r="I115" s="70"/>
      <c r="J115" s="404"/>
    </row>
    <row r="116" spans="1:10" ht="12.75">
      <c r="A116" s="398" t="s">
        <v>50</v>
      </c>
      <c r="B116" s="70"/>
      <c r="C116" s="70"/>
      <c r="D116" s="70"/>
      <c r="E116" s="459">
        <f>$F$24</f>
        <v>68.43</v>
      </c>
      <c r="F116" s="453"/>
      <c r="G116" s="70"/>
      <c r="H116" s="70"/>
      <c r="I116" s="70"/>
      <c r="J116" s="404"/>
    </row>
    <row r="117" spans="1:12" ht="12.75">
      <c r="A117" s="398" t="s">
        <v>66</v>
      </c>
      <c r="B117" s="70"/>
      <c r="C117" s="70"/>
      <c r="D117" s="70"/>
      <c r="E117" s="515">
        <f>E114/E116-1</f>
        <v>0.25472521306684426</v>
      </c>
      <c r="F117" s="453"/>
      <c r="G117" s="70"/>
      <c r="H117" s="70"/>
      <c r="I117" s="70"/>
      <c r="J117" s="404"/>
      <c r="L117" s="17" t="s">
        <v>67</v>
      </c>
    </row>
    <row r="118" spans="1:10" ht="13.5" thickBot="1">
      <c r="A118" s="416"/>
      <c r="B118" s="447"/>
      <c r="C118" s="447"/>
      <c r="D118" s="447"/>
      <c r="E118" s="447"/>
      <c r="F118" s="447"/>
      <c r="G118" s="447"/>
      <c r="H118" s="417"/>
      <c r="I118" s="417"/>
      <c r="J118" s="418"/>
    </row>
    <row r="119" spans="1:10" ht="13.5" thickTop="1">
      <c r="A119" s="70"/>
      <c r="B119" s="460"/>
      <c r="C119" s="460"/>
      <c r="D119" s="460"/>
      <c r="E119" s="460"/>
      <c r="F119" s="460"/>
      <c r="G119" s="460"/>
      <c r="H119" s="70"/>
      <c r="I119" s="70"/>
      <c r="J119" s="70"/>
    </row>
    <row r="120" spans="1:10" ht="13.5" thickBot="1">
      <c r="A120" s="417"/>
      <c r="B120" s="447"/>
      <c r="C120" s="447"/>
      <c r="D120" s="447"/>
      <c r="E120" s="447"/>
      <c r="F120" s="447"/>
      <c r="G120" s="447"/>
      <c r="H120" s="417"/>
      <c r="I120" s="417"/>
      <c r="J120" s="417"/>
    </row>
    <row r="121" spans="1:11" ht="13.5" thickTop="1">
      <c r="A121" s="419" t="s">
        <v>474</v>
      </c>
      <c r="B121" s="420"/>
      <c r="C121" s="421" t="str">
        <f>C18</f>
        <v>VALUATION MODELS</v>
      </c>
      <c r="D121" s="421"/>
      <c r="E121" s="422"/>
      <c r="F121" s="422"/>
      <c r="G121" s="422"/>
      <c r="H121" s="422"/>
      <c r="I121" s="422"/>
      <c r="J121" s="461"/>
      <c r="K121" s="410"/>
    </row>
    <row r="122" spans="1:11" ht="12.75">
      <c r="A122" s="394" t="str">
        <f>Data!$A$9</f>
        <v>Analyst Name:</v>
      </c>
      <c r="B122" s="395"/>
      <c r="C122" s="188" t="str">
        <f>Data!$B$9</f>
        <v>Wahlen, Baginski &amp; Bradshaw</v>
      </c>
      <c r="D122" s="190"/>
      <c r="E122" s="185"/>
      <c r="F122" s="191"/>
      <c r="G122" s="191"/>
      <c r="H122" s="191"/>
      <c r="I122" s="191"/>
      <c r="J122" s="191"/>
      <c r="K122" s="410"/>
    </row>
    <row r="123" spans="1:11" ht="12.75">
      <c r="A123" s="394" t="str">
        <f>Data!$A$10</f>
        <v>Company Name:</v>
      </c>
      <c r="B123" s="397"/>
      <c r="C123" s="188" t="str">
        <f>Data!$B$10</f>
        <v>PepsiCo</v>
      </c>
      <c r="D123" s="185"/>
      <c r="E123" s="241"/>
      <c r="F123" s="191"/>
      <c r="G123" s="191"/>
      <c r="H123" s="191"/>
      <c r="I123" s="191"/>
      <c r="J123" s="191"/>
      <c r="K123" s="410"/>
    </row>
    <row r="124" spans="1:11" ht="12.75">
      <c r="A124" s="424"/>
      <c r="B124" s="70"/>
      <c r="C124" s="425"/>
      <c r="D124" s="70"/>
      <c r="E124" s="70"/>
      <c r="F124" s="460"/>
      <c r="G124" s="460"/>
      <c r="H124" s="460"/>
      <c r="I124" s="460"/>
      <c r="J124" s="460"/>
      <c r="K124" s="410"/>
    </row>
    <row r="125" spans="1:11" ht="12.75">
      <c r="A125" s="462" t="s">
        <v>792</v>
      </c>
      <c r="B125" s="463"/>
      <c r="C125" s="463"/>
      <c r="D125" s="463"/>
      <c r="E125" s="463"/>
      <c r="F125" s="464"/>
      <c r="G125" s="464"/>
      <c r="H125" s="464"/>
      <c r="I125" s="464"/>
      <c r="J125" s="464"/>
      <c r="K125" s="410"/>
    </row>
    <row r="126" spans="1:11" ht="12.75">
      <c r="A126" s="398"/>
      <c r="B126" s="152"/>
      <c r="C126" s="70"/>
      <c r="D126" s="152"/>
      <c r="E126" s="152"/>
      <c r="F126" s="152"/>
      <c r="G126" s="152"/>
      <c r="H126" s="152"/>
      <c r="I126" s="152"/>
      <c r="J126" s="152"/>
      <c r="K126" s="410"/>
    </row>
    <row r="127" spans="1:12" ht="12.75">
      <c r="A127" s="398"/>
      <c r="B127" s="70"/>
      <c r="C127" s="465" t="s">
        <v>69</v>
      </c>
      <c r="D127" s="70"/>
      <c r="E127" s="70"/>
      <c r="F127" s="70"/>
      <c r="G127" s="70"/>
      <c r="H127" s="70"/>
      <c r="I127" s="70"/>
      <c r="J127" s="70"/>
      <c r="K127" s="410"/>
      <c r="L127" s="109" t="s">
        <v>214</v>
      </c>
    </row>
    <row r="128" spans="1:12" ht="12.75">
      <c r="A128" s="398"/>
      <c r="B128" s="466">
        <f>E114</f>
        <v>85.86084633016416</v>
      </c>
      <c r="C128" s="467">
        <v>0</v>
      </c>
      <c r="D128" s="468">
        <v>0.02</v>
      </c>
      <c r="E128" s="468">
        <v>0.03</v>
      </c>
      <c r="F128" s="468">
        <v>0.04</v>
      </c>
      <c r="G128" s="468">
        <v>0.05</v>
      </c>
      <c r="H128" s="468">
        <v>0.06</v>
      </c>
      <c r="I128" s="468">
        <v>0.08</v>
      </c>
      <c r="J128" s="469">
        <v>0.1</v>
      </c>
      <c r="K128" s="410"/>
      <c r="L128" s="17" t="s">
        <v>215</v>
      </c>
    </row>
    <row r="129" spans="1:11" ht="12.75">
      <c r="A129" s="470" t="s">
        <v>70</v>
      </c>
      <c r="B129" s="471">
        <v>0.05</v>
      </c>
      <c r="C129" s="460">
        <f t="dataTable" ref="C129:J142" dt2D="1" dtr="1" r1="F30" r2="F37"/>
        <v>91.96171236165901</v>
      </c>
      <c r="D129" s="460">
        <v>135.3188442361408</v>
      </c>
      <c r="E129" s="460">
        <v>189.51525907924307</v>
      </c>
      <c r="F129" s="460">
        <v>352.10450360855026</v>
      </c>
      <c r="G129" s="460" t="e">
        <v>#DIV/0!</v>
      </c>
      <c r="H129" s="460">
        <v>-298.25247450867704</v>
      </c>
      <c r="I129" s="460">
        <v>-81.46681513626784</v>
      </c>
      <c r="J129" s="460">
        <v>-38.109683261786145</v>
      </c>
      <c r="K129" s="410"/>
    </row>
    <row r="130" spans="1:11" ht="12.75">
      <c r="A130" s="470" t="s">
        <v>71</v>
      </c>
      <c r="B130" s="472">
        <v>0.06</v>
      </c>
      <c r="C130" s="460">
        <v>76.74424628240165</v>
      </c>
      <c r="D130" s="460">
        <v>102.03908428727895</v>
      </c>
      <c r="E130" s="460">
        <v>127.33392229215632</v>
      </c>
      <c r="F130" s="460">
        <v>177.92359830191123</v>
      </c>
      <c r="G130" s="460">
        <v>329.69262633117665</v>
      </c>
      <c r="H130" s="460" t="e">
        <v>#DIV/0!</v>
      </c>
      <c r="I130" s="460">
        <v>-125.61445775661646</v>
      </c>
      <c r="J130" s="460">
        <v>-49.7299437419847</v>
      </c>
      <c r="K130" s="410"/>
    </row>
    <row r="131" spans="1:11" ht="12.75">
      <c r="A131" s="398"/>
      <c r="B131" s="472">
        <v>0.07</v>
      </c>
      <c r="C131" s="460">
        <v>65.88303832788013</v>
      </c>
      <c r="D131" s="460">
        <v>82.06905559630165</v>
      </c>
      <c r="E131" s="460">
        <v>96.2318207061705</v>
      </c>
      <c r="F131" s="460">
        <v>119.83642922261865</v>
      </c>
      <c r="G131" s="460">
        <v>167.04564625551535</v>
      </c>
      <c r="H131" s="460">
        <v>308.67329735420236</v>
      </c>
      <c r="I131" s="460">
        <v>-257.83730704054926</v>
      </c>
      <c r="J131" s="460">
        <v>-69.00043890896546</v>
      </c>
      <c r="K131" s="410"/>
    </row>
    <row r="132" spans="1:11" ht="12.75">
      <c r="A132" s="398"/>
      <c r="B132" s="473">
        <v>0.075</v>
      </c>
      <c r="C132" s="460">
        <v>61.54137438217299</v>
      </c>
      <c r="D132" s="460">
        <v>74.80654089925908</v>
      </c>
      <c r="E132" s="625">
        <v>85.86084633016416</v>
      </c>
      <c r="F132" s="460">
        <v>103.23189772158653</v>
      </c>
      <c r="G132" s="460">
        <v>134.49979022614707</v>
      </c>
      <c r="H132" s="474">
        <v>207.45820607011973</v>
      </c>
      <c r="I132" s="460">
        <v>-522.1259523696122</v>
      </c>
      <c r="J132" s="460">
        <v>-84.37545730577344</v>
      </c>
      <c r="K132" s="410"/>
    </row>
    <row r="133" spans="1:11" ht="12.75">
      <c r="A133" s="398"/>
      <c r="B133" s="472">
        <v>0.08</v>
      </c>
      <c r="C133" s="460">
        <v>57.74412103039965</v>
      </c>
      <c r="D133" s="460">
        <v>68.7540510124715</v>
      </c>
      <c r="E133" s="460">
        <v>77.56199499812902</v>
      </c>
      <c r="F133" s="460">
        <v>90.77391097661537</v>
      </c>
      <c r="G133" s="460">
        <v>112.79377094075953</v>
      </c>
      <c r="H133" s="460">
        <v>156.83349086904636</v>
      </c>
      <c r="I133" s="460" t="e">
        <v>#DIV/0!</v>
      </c>
      <c r="J133" s="460">
        <v>-107.40482870067792</v>
      </c>
      <c r="K133" s="410"/>
    </row>
    <row r="134" spans="1:11" ht="12.75">
      <c r="A134" s="398"/>
      <c r="B134" s="472">
        <v>0.09</v>
      </c>
      <c r="C134" s="460">
        <v>51.41975437520297</v>
      </c>
      <c r="D134" s="460">
        <v>59.24204160408326</v>
      </c>
      <c r="E134" s="460">
        <v>65.1087570257435</v>
      </c>
      <c r="F134" s="460">
        <v>73.32215861606788</v>
      </c>
      <c r="G134" s="460">
        <v>85.64226100155464</v>
      </c>
      <c r="H134" s="460">
        <v>106.17576497736498</v>
      </c>
      <c r="I134" s="460">
        <v>270.44379678385053</v>
      </c>
      <c r="J134" s="460">
        <v>-222.3602986356063</v>
      </c>
      <c r="K134" s="410"/>
    </row>
    <row r="135" spans="1:11" ht="12.75">
      <c r="A135" s="398"/>
      <c r="B135" s="472">
        <v>0.1</v>
      </c>
      <c r="C135" s="460">
        <v>46.365310853782844</v>
      </c>
      <c r="D135" s="460">
        <v>52.10700367195759</v>
      </c>
      <c r="E135" s="460">
        <v>56.20821282779673</v>
      </c>
      <c r="F135" s="460">
        <v>61.67649170224895</v>
      </c>
      <c r="G135" s="460">
        <v>69.33208212648218</v>
      </c>
      <c r="H135" s="460">
        <v>80.81546776283137</v>
      </c>
      <c r="I135" s="460">
        <v>138.23239594457868</v>
      </c>
      <c r="J135" s="460" t="e">
        <v>#DIV/0!</v>
      </c>
      <c r="K135" s="410"/>
    </row>
    <row r="136" spans="1:11" ht="12.75">
      <c r="A136" s="398"/>
      <c r="B136" s="472">
        <v>0.11</v>
      </c>
      <c r="C136" s="460">
        <v>42.23422330157118</v>
      </c>
      <c r="D136" s="460">
        <v>46.5566943449948</v>
      </c>
      <c r="E136" s="460">
        <v>49.52839318734856</v>
      </c>
      <c r="F136" s="460">
        <v>53.349148841803434</v>
      </c>
      <c r="G136" s="460">
        <v>58.443489714410035</v>
      </c>
      <c r="H136" s="460">
        <v>65.57556693605876</v>
      </c>
      <c r="I136" s="460">
        <v>94.10387582265453</v>
      </c>
      <c r="J136" s="460">
        <v>236.74542025563397</v>
      </c>
      <c r="K136" s="410"/>
    </row>
    <row r="137" spans="1:11" ht="12.75">
      <c r="A137" s="398"/>
      <c r="B137" s="472">
        <v>0.12</v>
      </c>
      <c r="C137" s="460">
        <v>38.79545888896877</v>
      </c>
      <c r="D137" s="460">
        <v>42.11576175721564</v>
      </c>
      <c r="E137" s="460">
        <v>44.32929700271356</v>
      </c>
      <c r="F137" s="460">
        <v>47.09621605958599</v>
      </c>
      <c r="G137" s="460">
        <v>50.65368341842207</v>
      </c>
      <c r="H137" s="460">
        <v>55.396973230203095</v>
      </c>
      <c r="I137" s="460">
        <v>71.99848757143731</v>
      </c>
      <c r="J137" s="460">
        <v>121.80303059514019</v>
      </c>
      <c r="K137" s="410"/>
    </row>
    <row r="138" spans="1:11" ht="12.75">
      <c r="A138" s="398"/>
      <c r="B138" s="472">
        <v>0.13</v>
      </c>
      <c r="C138" s="460">
        <v>35.88908210052732</v>
      </c>
      <c r="D138" s="460">
        <v>38.48170416909626</v>
      </c>
      <c r="E138" s="460">
        <v>40.16690851366609</v>
      </c>
      <c r="F138" s="460">
        <v>42.226602712584786</v>
      </c>
      <c r="G138" s="460">
        <v>44.80122046123322</v>
      </c>
      <c r="H138" s="460">
        <v>48.11144328092375</v>
      </c>
      <c r="I138" s="460">
        <v>58.704156303933885</v>
      </c>
      <c r="J138" s="460">
        <v>83.42048669095772</v>
      </c>
      <c r="K138" s="410"/>
    </row>
    <row r="139" spans="1:11" ht="12.75">
      <c r="A139" s="398"/>
      <c r="B139" s="472">
        <v>0.14</v>
      </c>
      <c r="C139" s="460">
        <v>33.40086220341412</v>
      </c>
      <c r="D139" s="460">
        <v>35.45284948692021</v>
      </c>
      <c r="E139" s="460">
        <v>36.75865957642409</v>
      </c>
      <c r="F139" s="460">
        <v>38.32563168382876</v>
      </c>
      <c r="G139" s="460">
        <v>40.240819815101204</v>
      </c>
      <c r="H139" s="460">
        <v>42.63480497919148</v>
      </c>
      <c r="I139" s="460">
        <v>49.81676047146269</v>
      </c>
      <c r="J139" s="460">
        <v>64.18067145600523</v>
      </c>
      <c r="K139" s="410"/>
    </row>
    <row r="140" spans="1:11" ht="12.75">
      <c r="A140" s="398"/>
      <c r="B140" s="472">
        <v>0.15</v>
      </c>
      <c r="C140" s="460">
        <v>31.247037772769485</v>
      </c>
      <c r="D140" s="460">
        <v>32.889574969594044</v>
      </c>
      <c r="E140" s="460">
        <v>33.916160717609394</v>
      </c>
      <c r="F140" s="460">
        <v>35.12939841980938</v>
      </c>
      <c r="G140" s="460">
        <v>36.585283662449406</v>
      </c>
      <c r="H140" s="460">
        <v>38.3646989590092</v>
      </c>
      <c r="I140" s="460">
        <v>43.448742663466085</v>
      </c>
      <c r="J140" s="460">
        <v>52.60002133148856</v>
      </c>
      <c r="K140" s="410"/>
    </row>
    <row r="141" spans="1:11" ht="12.75">
      <c r="A141" s="398"/>
      <c r="B141" s="472">
        <v>0.18</v>
      </c>
      <c r="C141" s="460">
        <v>26.233616371611568</v>
      </c>
      <c r="D141" s="460">
        <v>27.12055152062435</v>
      </c>
      <c r="E141" s="460">
        <v>27.652712610032026</v>
      </c>
      <c r="F141" s="460">
        <v>28.26089671221224</v>
      </c>
      <c r="G141" s="460">
        <v>28.96264759934328</v>
      </c>
      <c r="H141" s="460">
        <v>29.78135696766269</v>
      </c>
      <c r="I141" s="460">
        <v>31.910001325293315</v>
      </c>
      <c r="J141" s="460">
        <v>35.10296786173931</v>
      </c>
      <c r="K141" s="410"/>
    </row>
    <row r="142" spans="1:11" ht="12.75">
      <c r="A142" s="398"/>
      <c r="B142" s="472">
        <v>0.2</v>
      </c>
      <c r="C142" s="460">
        <v>23.735220504406527</v>
      </c>
      <c r="D142" s="460">
        <v>24.34186273140609</v>
      </c>
      <c r="E142" s="460">
        <v>24.698711100229367</v>
      </c>
      <c r="F142" s="460">
        <v>25.100165515155567</v>
      </c>
      <c r="G142" s="460">
        <v>25.55514718540529</v>
      </c>
      <c r="H142" s="460">
        <v>26.07512623711913</v>
      </c>
      <c r="I142" s="460">
        <v>27.375073866403877</v>
      </c>
      <c r="J142" s="460">
        <v>29.195000547402564</v>
      </c>
      <c r="K142" s="410"/>
    </row>
    <row r="143" spans="1:11" ht="12.75">
      <c r="A143" s="398"/>
      <c r="B143" s="475"/>
      <c r="C143" s="460"/>
      <c r="D143" s="460"/>
      <c r="E143" s="460"/>
      <c r="F143" s="460"/>
      <c r="G143" s="460"/>
      <c r="H143" s="460"/>
      <c r="I143" s="460"/>
      <c r="J143" s="460"/>
      <c r="K143" s="410"/>
    </row>
    <row r="144" spans="1:11" ht="13.5" thickBot="1">
      <c r="A144" s="416"/>
      <c r="B144" s="476"/>
      <c r="C144" s="447"/>
      <c r="D144" s="447"/>
      <c r="E144" s="447"/>
      <c r="F144" s="447"/>
      <c r="G144" s="447"/>
      <c r="H144" s="447"/>
      <c r="I144" s="447"/>
      <c r="J144" s="447"/>
      <c r="K144" s="410"/>
    </row>
    <row r="145" spans="1:16" s="51" customFormat="1" ht="13.5" thickTop="1">
      <c r="A145" s="70"/>
      <c r="B145" s="70"/>
      <c r="C145" s="70"/>
      <c r="D145" s="70"/>
      <c r="E145" s="70"/>
      <c r="F145" s="70"/>
      <c r="G145" s="70"/>
      <c r="H145" s="70"/>
      <c r="I145" s="70"/>
      <c r="J145" s="70"/>
      <c r="K145" s="17"/>
      <c r="L145" s="17"/>
      <c r="M145" s="17"/>
      <c r="N145" s="17"/>
      <c r="O145" s="17"/>
      <c r="P145" s="17"/>
    </row>
    <row r="146" spans="1:10" ht="13.5" thickBot="1">
      <c r="A146" s="417"/>
      <c r="B146" s="476"/>
      <c r="C146" s="447"/>
      <c r="D146" s="447"/>
      <c r="E146" s="447"/>
      <c r="F146" s="447"/>
      <c r="G146" s="447"/>
      <c r="H146" s="447"/>
      <c r="I146" s="447"/>
      <c r="J146" s="447"/>
    </row>
    <row r="147" spans="1:10" ht="13.5" thickTop="1">
      <c r="A147" s="419" t="s">
        <v>474</v>
      </c>
      <c r="B147" s="420"/>
      <c r="C147" s="421" t="str">
        <f>C18</f>
        <v>VALUATION MODELS</v>
      </c>
      <c r="D147" s="421"/>
      <c r="E147" s="422"/>
      <c r="F147" s="422"/>
      <c r="G147" s="422"/>
      <c r="H147" s="422"/>
      <c r="I147" s="422"/>
      <c r="J147" s="423"/>
    </row>
    <row r="148" spans="1:10" ht="12.75">
      <c r="A148" s="394" t="str">
        <f>Data!$A$9</f>
        <v>Analyst Name:</v>
      </c>
      <c r="B148" s="395"/>
      <c r="C148" s="188" t="str">
        <f>Data!$B$9</f>
        <v>Wahlen, Baginski &amp; Bradshaw</v>
      </c>
      <c r="D148" s="190"/>
      <c r="E148" s="185"/>
      <c r="F148" s="191"/>
      <c r="G148" s="191"/>
      <c r="H148" s="191"/>
      <c r="I148" s="191"/>
      <c r="J148" s="396"/>
    </row>
    <row r="149" spans="1:10" ht="12.75">
      <c r="A149" s="394" t="str">
        <f>Data!$A$10</f>
        <v>Company Name:</v>
      </c>
      <c r="B149" s="397"/>
      <c r="C149" s="188" t="str">
        <f>Data!$B$10</f>
        <v>PepsiCo</v>
      </c>
      <c r="D149" s="185"/>
      <c r="E149" s="241"/>
      <c r="F149" s="191"/>
      <c r="G149" s="191"/>
      <c r="H149" s="191"/>
      <c r="I149" s="191"/>
      <c r="J149" s="396"/>
    </row>
    <row r="150" spans="1:10" ht="12.75">
      <c r="A150" s="424"/>
      <c r="B150" s="70"/>
      <c r="C150" s="425"/>
      <c r="D150" s="70"/>
      <c r="E150" s="70"/>
      <c r="F150" s="70"/>
      <c r="G150" s="70"/>
      <c r="H150" s="70"/>
      <c r="I150" s="70"/>
      <c r="J150" s="426" t="s">
        <v>56</v>
      </c>
    </row>
    <row r="151" spans="1:12" ht="12.75">
      <c r="A151" s="398"/>
      <c r="B151" s="70"/>
      <c r="C151" s="70"/>
      <c r="D151" s="70"/>
      <c r="E151" s="427">
        <v>1</v>
      </c>
      <c r="F151" s="427">
        <v>2</v>
      </c>
      <c r="G151" s="427">
        <v>3</v>
      </c>
      <c r="H151" s="427">
        <v>4</v>
      </c>
      <c r="I151" s="427">
        <v>5</v>
      </c>
      <c r="J151" s="428" t="s">
        <v>57</v>
      </c>
      <c r="L151" s="109" t="s">
        <v>216</v>
      </c>
    </row>
    <row r="152" spans="1:12" ht="12.75">
      <c r="A152" s="429" t="s">
        <v>72</v>
      </c>
      <c r="B152" s="430"/>
      <c r="C152" s="430"/>
      <c r="D152" s="430"/>
      <c r="E152" s="431" t="s">
        <v>484</v>
      </c>
      <c r="F152" s="431" t="s">
        <v>485</v>
      </c>
      <c r="G152" s="431" t="s">
        <v>486</v>
      </c>
      <c r="H152" s="431" t="s">
        <v>487</v>
      </c>
      <c r="I152" s="431" t="s">
        <v>488</v>
      </c>
      <c r="J152" s="432" t="s">
        <v>489</v>
      </c>
      <c r="L152" s="433" t="s">
        <v>217</v>
      </c>
    </row>
    <row r="153" spans="1:10" ht="12.75">
      <c r="A153" s="435" t="s">
        <v>73</v>
      </c>
      <c r="B153" s="70"/>
      <c r="C153" s="70"/>
      <c r="D153" s="70"/>
      <c r="E153" s="70"/>
      <c r="F153" s="70"/>
      <c r="G153" s="70"/>
      <c r="H153" s="70"/>
      <c r="I153" s="70"/>
      <c r="J153" s="404"/>
    </row>
    <row r="154" spans="1:12" ht="12.75">
      <c r="A154" s="435" t="s">
        <v>74</v>
      </c>
      <c r="B154" s="70"/>
      <c r="C154" s="70"/>
      <c r="D154" s="70"/>
      <c r="E154" s="436">
        <f>Forecasts!E100-Forecasts!E258</f>
        <v>6094.747149211339</v>
      </c>
      <c r="F154" s="436">
        <f>Forecasts!F100-Forecasts!F258</f>
        <v>6376.607570937102</v>
      </c>
      <c r="G154" s="436">
        <f>Forecasts!G100-Forecasts!G258</f>
        <v>6598.326779831796</v>
      </c>
      <c r="H154" s="436">
        <f>Forecasts!H100-Forecasts!H258</f>
        <v>6972.175305069118</v>
      </c>
      <c r="I154" s="436">
        <f>Forecasts!I100-Forecasts!I258</f>
        <v>7064.18697912769</v>
      </c>
      <c r="J154" s="437">
        <f>Forecasts!J100-Forecasts!J258</f>
        <v>7276.112588501516</v>
      </c>
      <c r="L154" s="17" t="s">
        <v>563</v>
      </c>
    </row>
    <row r="155" spans="1:10" ht="12.75">
      <c r="A155" s="434" t="s">
        <v>92</v>
      </c>
      <c r="B155" s="214"/>
      <c r="C155" s="214"/>
      <c r="D155" s="214"/>
      <c r="E155" s="436"/>
      <c r="F155" s="436"/>
      <c r="G155" s="436"/>
      <c r="H155" s="436"/>
      <c r="I155" s="436"/>
      <c r="J155" s="437"/>
    </row>
    <row r="156" spans="1:12" ht="12.75">
      <c r="A156" s="434" t="s">
        <v>76</v>
      </c>
      <c r="B156" s="214"/>
      <c r="C156" s="214"/>
      <c r="D156" s="214"/>
      <c r="E156" s="436">
        <f>Forecasts!D237</f>
        <v>22417</v>
      </c>
      <c r="F156" s="436">
        <f>Forecasts!E237</f>
        <v>22020.33886608613</v>
      </c>
      <c r="G156" s="436">
        <f>Forecasts!F237</f>
        <v>22417.900033939033</v>
      </c>
      <c r="H156" s="436">
        <f>Forecasts!G237</f>
        <v>22749.49673490531</v>
      </c>
      <c r="I156" s="436">
        <f>Forecasts!H237</f>
        <v>23259.541947046513</v>
      </c>
      <c r="J156" s="436">
        <f>Forecasts!I237</f>
        <v>23315.767575264654</v>
      </c>
      <c r="L156" s="17" t="s">
        <v>564</v>
      </c>
    </row>
    <row r="157" spans="1:10" ht="12.75">
      <c r="A157" s="398"/>
      <c r="B157" s="214"/>
      <c r="C157" s="214"/>
      <c r="D157" s="214"/>
      <c r="E157" s="436"/>
      <c r="F157" s="436"/>
      <c r="G157" s="436"/>
      <c r="H157" s="436"/>
      <c r="I157" s="436"/>
      <c r="J157" s="437"/>
    </row>
    <row r="158" spans="1:12" ht="12.75">
      <c r="A158" s="434" t="s">
        <v>77</v>
      </c>
      <c r="B158" s="214"/>
      <c r="C158" s="214"/>
      <c r="D158" s="214"/>
      <c r="E158" s="662">
        <f aca="true" t="shared" si="2" ref="E158:J158">E156*$F$37</f>
        <v>1681.2749999999999</v>
      </c>
      <c r="F158" s="662">
        <f t="shared" si="2"/>
        <v>1651.5254149564598</v>
      </c>
      <c r="G158" s="662">
        <f t="shared" si="2"/>
        <v>1681.3425025454274</v>
      </c>
      <c r="H158" s="662">
        <f t="shared" si="2"/>
        <v>1706.2122551178984</v>
      </c>
      <c r="I158" s="662">
        <f t="shared" si="2"/>
        <v>1744.4656460284884</v>
      </c>
      <c r="J158" s="663">
        <f t="shared" si="2"/>
        <v>1748.682568144849</v>
      </c>
      <c r="L158" s="17" t="s">
        <v>223</v>
      </c>
    </row>
    <row r="159" spans="1:12" ht="12.75">
      <c r="A159" s="429" t="s">
        <v>78</v>
      </c>
      <c r="B159" s="438"/>
      <c r="C159" s="438"/>
      <c r="D159" s="438"/>
      <c r="E159" s="439">
        <f aca="true" t="shared" si="3" ref="E159:J159">E154-E158</f>
        <v>4413.4721492113395</v>
      </c>
      <c r="F159" s="439">
        <f t="shared" si="3"/>
        <v>4725.082155980642</v>
      </c>
      <c r="G159" s="439">
        <f t="shared" si="3"/>
        <v>4916.9842772863685</v>
      </c>
      <c r="H159" s="439">
        <f t="shared" si="3"/>
        <v>5265.96304995122</v>
      </c>
      <c r="I159" s="439">
        <f t="shared" si="3"/>
        <v>5319.721333099202</v>
      </c>
      <c r="J159" s="439">
        <f t="shared" si="3"/>
        <v>5527.430020356667</v>
      </c>
      <c r="L159" s="17" t="s">
        <v>224</v>
      </c>
    </row>
    <row r="160" spans="1:10" ht="12.75">
      <c r="A160" s="434"/>
      <c r="B160" s="214"/>
      <c r="C160" s="214"/>
      <c r="D160" s="214"/>
      <c r="E160" s="477"/>
      <c r="F160" s="152"/>
      <c r="G160" s="152"/>
      <c r="H160" s="152"/>
      <c r="I160" s="152"/>
      <c r="J160" s="426"/>
    </row>
    <row r="161" spans="1:12" ht="12.75">
      <c r="A161" s="434" t="s">
        <v>63</v>
      </c>
      <c r="B161" s="214"/>
      <c r="C161" s="214"/>
      <c r="D161" s="214"/>
      <c r="E161" s="440">
        <f>1/(1+$F$37)^E151</f>
        <v>0.9302325581395349</v>
      </c>
      <c r="F161" s="440">
        <f>1/(1+$F$37)^F151</f>
        <v>0.8653326122228232</v>
      </c>
      <c r="G161" s="440">
        <f>1/(1+$F$37)^G151</f>
        <v>0.804960569509603</v>
      </c>
      <c r="H161" s="440">
        <f>1/(1+$F$37)^H151</f>
        <v>0.7488005297763749</v>
      </c>
      <c r="I161" s="440">
        <f>1/(1+$F$37)^I151</f>
        <v>0.6965586323501162</v>
      </c>
      <c r="J161" s="441"/>
      <c r="L161" s="17" t="s">
        <v>554</v>
      </c>
    </row>
    <row r="162" spans="1:10" ht="12.75">
      <c r="A162" s="434" t="s">
        <v>676</v>
      </c>
      <c r="B162" s="214"/>
      <c r="C162" s="214"/>
      <c r="D162" s="214"/>
      <c r="E162" s="664">
        <f>E159*E161</f>
        <v>4105.555487638455</v>
      </c>
      <c r="F162" s="664">
        <f>F159*F161</f>
        <v>4088.767685002178</v>
      </c>
      <c r="G162" s="664">
        <f>G159*G161</f>
        <v>3957.978464114199</v>
      </c>
      <c r="H162" s="664">
        <f>H159*H161</f>
        <v>3943.155921586288</v>
      </c>
      <c r="I162" s="664">
        <f>I159*I161</f>
        <v>3705.497816267317</v>
      </c>
      <c r="J162" s="437"/>
    </row>
    <row r="163" spans="1:12" ht="12.75">
      <c r="A163" s="434" t="s">
        <v>677</v>
      </c>
      <c r="B163" s="214"/>
      <c r="C163" s="214"/>
      <c r="D163" s="214"/>
      <c r="E163" s="436">
        <f>SUM(E162:I162)</f>
        <v>19800.95537460844</v>
      </c>
      <c r="F163" s="478"/>
      <c r="G163" s="478"/>
      <c r="H163" s="478"/>
      <c r="I163" s="478"/>
      <c r="J163" s="479"/>
      <c r="L163" s="17" t="s">
        <v>222</v>
      </c>
    </row>
    <row r="164" spans="1:12" ht="12.75">
      <c r="A164" s="398" t="s">
        <v>673</v>
      </c>
      <c r="B164" s="70"/>
      <c r="C164" s="70"/>
      <c r="D164" s="70"/>
      <c r="E164" s="661">
        <f>J159/($F$37-$F$30)*$I$161</f>
        <v>85559.53545312477</v>
      </c>
      <c r="F164" s="478"/>
      <c r="G164" s="481"/>
      <c r="H164" s="152"/>
      <c r="I164" s="481"/>
      <c r="J164" s="426"/>
      <c r="L164" s="17" t="s">
        <v>526</v>
      </c>
    </row>
    <row r="165" spans="1:10" ht="12.75">
      <c r="A165" s="434" t="s">
        <v>810</v>
      </c>
      <c r="B165" s="214"/>
      <c r="C165" s="214"/>
      <c r="D165" s="214"/>
      <c r="E165" s="436">
        <f>E163+E164</f>
        <v>105360.49082773321</v>
      </c>
      <c r="F165" s="478"/>
      <c r="G165" s="481"/>
      <c r="H165" s="152"/>
      <c r="I165" s="481"/>
      <c r="J165" s="426"/>
    </row>
    <row r="166" spans="1:10" ht="12.75">
      <c r="A166" s="398" t="s">
        <v>79</v>
      </c>
      <c r="B166" s="70"/>
      <c r="C166" s="70"/>
      <c r="D166" s="70"/>
      <c r="E166" s="661">
        <f>E156</f>
        <v>22417</v>
      </c>
      <c r="F166" s="152"/>
      <c r="G166" s="482"/>
      <c r="H166" s="483"/>
      <c r="I166" s="483"/>
      <c r="J166" s="484"/>
    </row>
    <row r="167" spans="1:10" ht="12.75">
      <c r="A167" s="434" t="s">
        <v>678</v>
      </c>
      <c r="B167" s="214"/>
      <c r="C167" s="214"/>
      <c r="D167" s="214"/>
      <c r="E167" s="436">
        <f>E165+E166</f>
        <v>127777.49082773321</v>
      </c>
      <c r="F167" s="152"/>
      <c r="G167" s="482"/>
      <c r="H167" s="483"/>
      <c r="I167" s="483"/>
      <c r="J167" s="484"/>
    </row>
    <row r="168" spans="1:12" ht="12.75">
      <c r="A168" s="434" t="s">
        <v>64</v>
      </c>
      <c r="B168" s="214"/>
      <c r="C168" s="214"/>
      <c r="D168" s="214"/>
      <c r="E168" s="660">
        <f>(1+$F$37/2)</f>
        <v>1.0375</v>
      </c>
      <c r="F168" s="152"/>
      <c r="G168" s="482"/>
      <c r="H168" s="483"/>
      <c r="I168" s="483"/>
      <c r="J168" s="484"/>
      <c r="L168" s="17" t="s">
        <v>204</v>
      </c>
    </row>
    <row r="169" spans="1:10" ht="12.75">
      <c r="A169" s="434" t="s">
        <v>815</v>
      </c>
      <c r="B169" s="214"/>
      <c r="C169" s="214"/>
      <c r="D169" s="214"/>
      <c r="E169" s="436">
        <f>E167*E168</f>
        <v>132569.14673377323</v>
      </c>
      <c r="F169" s="480"/>
      <c r="G169" s="482"/>
      <c r="H169" s="483"/>
      <c r="I169" s="483"/>
      <c r="J169" s="484"/>
    </row>
    <row r="170" spans="1:10" ht="12.75">
      <c r="A170" s="434" t="s">
        <v>65</v>
      </c>
      <c r="B170" s="214"/>
      <c r="C170" s="214"/>
      <c r="D170" s="214"/>
      <c r="E170" s="480">
        <f>$F$25</f>
        <v>1544</v>
      </c>
      <c r="F170" s="152"/>
      <c r="G170" s="482"/>
      <c r="H170" s="483"/>
      <c r="I170" s="483"/>
      <c r="J170" s="484"/>
    </row>
    <row r="171" spans="1:12" ht="13.5" thickBot="1">
      <c r="A171" s="434" t="s">
        <v>809</v>
      </c>
      <c r="B171" s="214"/>
      <c r="C171" s="214"/>
      <c r="D171" s="214"/>
      <c r="E171" s="653">
        <f>E169/E170</f>
        <v>85.86084633016401</v>
      </c>
      <c r="F171" s="152"/>
      <c r="G171" s="482"/>
      <c r="H171" s="483"/>
      <c r="I171" s="483"/>
      <c r="J171" s="484"/>
      <c r="L171" s="17" t="s">
        <v>207</v>
      </c>
    </row>
    <row r="172" spans="1:10" ht="13.5" thickTop="1">
      <c r="A172" s="398"/>
      <c r="B172" s="70"/>
      <c r="C172" s="70"/>
      <c r="D172" s="70"/>
      <c r="E172" s="152"/>
      <c r="F172" s="211"/>
      <c r="G172" s="482"/>
      <c r="H172" s="483"/>
      <c r="I172" s="483"/>
      <c r="J172" s="484"/>
    </row>
    <row r="173" spans="1:10" ht="12.75">
      <c r="A173" s="398" t="s">
        <v>50</v>
      </c>
      <c r="B173" s="70"/>
      <c r="C173" s="70"/>
      <c r="D173" s="70"/>
      <c r="E173" s="485">
        <f>F24</f>
        <v>68.43</v>
      </c>
      <c r="F173" s="152"/>
      <c r="G173" s="482"/>
      <c r="H173" s="483"/>
      <c r="I173" s="483"/>
      <c r="J173" s="484"/>
    </row>
    <row r="174" spans="1:12" ht="12.75">
      <c r="A174" s="398" t="s">
        <v>66</v>
      </c>
      <c r="B174" s="70"/>
      <c r="C174" s="70"/>
      <c r="D174" s="70"/>
      <c r="E174" s="516">
        <f>E171/E173-1</f>
        <v>0.25472521306684204</v>
      </c>
      <c r="F174" s="152"/>
      <c r="G174" s="482"/>
      <c r="H174" s="483"/>
      <c r="I174" s="483"/>
      <c r="J174" s="484"/>
      <c r="L174" s="17" t="s">
        <v>67</v>
      </c>
    </row>
    <row r="175" spans="1:10" ht="13.5" thickBot="1">
      <c r="A175" s="416"/>
      <c r="B175" s="417"/>
      <c r="C175" s="417"/>
      <c r="D175" s="417"/>
      <c r="E175" s="417"/>
      <c r="F175" s="417"/>
      <c r="G175" s="417"/>
      <c r="H175" s="476"/>
      <c r="I175" s="447"/>
      <c r="J175" s="448"/>
    </row>
    <row r="176" spans="1:10" ht="13.5" thickTop="1">
      <c r="A176" s="402"/>
      <c r="B176" s="402"/>
      <c r="C176" s="402"/>
      <c r="D176" s="402"/>
      <c r="E176" s="402"/>
      <c r="F176" s="402"/>
      <c r="G176" s="402"/>
      <c r="H176" s="486"/>
      <c r="I176" s="487"/>
      <c r="J176" s="487"/>
    </row>
    <row r="177" spans="1:10" ht="13.5" thickBot="1">
      <c r="A177" s="70"/>
      <c r="B177" s="70"/>
      <c r="C177" s="70"/>
      <c r="D177" s="70"/>
      <c r="E177" s="70"/>
      <c r="F177" s="70"/>
      <c r="G177" s="70"/>
      <c r="H177" s="475"/>
      <c r="I177" s="460"/>
      <c r="J177" s="460"/>
    </row>
    <row r="178" spans="1:10" ht="13.5" thickTop="1">
      <c r="A178" s="419" t="s">
        <v>474</v>
      </c>
      <c r="B178" s="420"/>
      <c r="C178" s="421" t="str">
        <f>C18</f>
        <v>VALUATION MODELS</v>
      </c>
      <c r="D178" s="421"/>
      <c r="E178" s="422"/>
      <c r="F178" s="422"/>
      <c r="G178" s="422"/>
      <c r="H178" s="422"/>
      <c r="I178" s="422"/>
      <c r="J178" s="423"/>
    </row>
    <row r="179" spans="1:10" ht="12.75">
      <c r="A179" s="394" t="str">
        <f>Data!$A$9</f>
        <v>Analyst Name:</v>
      </c>
      <c r="B179" s="395"/>
      <c r="C179" s="188" t="str">
        <f>Data!$B$9</f>
        <v>Wahlen, Baginski &amp; Bradshaw</v>
      </c>
      <c r="D179" s="190"/>
      <c r="E179" s="185"/>
      <c r="F179" s="191"/>
      <c r="G179" s="191"/>
      <c r="H179" s="191"/>
      <c r="I179" s="191"/>
      <c r="J179" s="396"/>
    </row>
    <row r="180" spans="1:15" ht="12.75">
      <c r="A180" s="394" t="str">
        <f>Data!$A$10</f>
        <v>Company Name:</v>
      </c>
      <c r="B180" s="397"/>
      <c r="C180" s="188" t="str">
        <f>Data!$B$10</f>
        <v>PepsiCo</v>
      </c>
      <c r="D180" s="185"/>
      <c r="E180" s="241"/>
      <c r="F180" s="191"/>
      <c r="G180" s="191"/>
      <c r="H180" s="191"/>
      <c r="I180" s="191"/>
      <c r="J180" s="396"/>
      <c r="O180" s="475"/>
    </row>
    <row r="181" spans="1:10" ht="12.75">
      <c r="A181" s="424"/>
      <c r="B181" s="70"/>
      <c r="C181" s="425"/>
      <c r="D181" s="70"/>
      <c r="E181" s="70"/>
      <c r="F181" s="70"/>
      <c r="G181" s="70"/>
      <c r="H181" s="475"/>
      <c r="I181" s="460"/>
      <c r="J181" s="488"/>
    </row>
    <row r="182" spans="1:10" ht="12.75">
      <c r="A182" s="462" t="s">
        <v>80</v>
      </c>
      <c r="B182" s="463"/>
      <c r="C182" s="463"/>
      <c r="D182" s="463"/>
      <c r="E182" s="463"/>
      <c r="F182" s="464"/>
      <c r="G182" s="464"/>
      <c r="H182" s="464"/>
      <c r="I182" s="464"/>
      <c r="J182" s="489"/>
    </row>
    <row r="183" spans="1:10" ht="12.75">
      <c r="A183" s="398"/>
      <c r="B183" s="70"/>
      <c r="C183" s="152"/>
      <c r="D183" s="70"/>
      <c r="E183" s="152"/>
      <c r="F183" s="152"/>
      <c r="G183" s="152"/>
      <c r="H183" s="152"/>
      <c r="I183" s="152"/>
      <c r="J183" s="426"/>
    </row>
    <row r="184" spans="1:12" ht="12.75">
      <c r="A184" s="398"/>
      <c r="B184" s="70"/>
      <c r="C184" s="465" t="s">
        <v>69</v>
      </c>
      <c r="D184" s="70"/>
      <c r="E184" s="70"/>
      <c r="F184" s="70"/>
      <c r="G184" s="70"/>
      <c r="H184" s="70"/>
      <c r="I184" s="70"/>
      <c r="J184" s="404"/>
      <c r="L184" s="109" t="s">
        <v>214</v>
      </c>
    </row>
    <row r="185" spans="1:12" ht="12.75">
      <c r="A185" s="398"/>
      <c r="B185" s="466">
        <f>E171</f>
        <v>85.86084633016401</v>
      </c>
      <c r="C185" s="467">
        <v>0</v>
      </c>
      <c r="D185" s="468">
        <v>0.02</v>
      </c>
      <c r="E185" s="468">
        <v>0.03</v>
      </c>
      <c r="F185" s="468">
        <v>0.04</v>
      </c>
      <c r="G185" s="468">
        <v>0.05</v>
      </c>
      <c r="H185" s="468">
        <v>0.06</v>
      </c>
      <c r="I185" s="468">
        <v>0.08</v>
      </c>
      <c r="J185" s="469">
        <v>0.1</v>
      </c>
      <c r="L185" s="17" t="s">
        <v>215</v>
      </c>
    </row>
    <row r="186" spans="1:10" ht="12.75">
      <c r="A186" s="470" t="s">
        <v>70</v>
      </c>
      <c r="B186" s="471">
        <v>0.05</v>
      </c>
      <c r="C186" s="460">
        <f t="dataTable" ref="C186:J199" dt2D="1" dtr="1" r1="F30" r2="F37"/>
        <v>91.96171236165901</v>
      </c>
      <c r="D186" s="460">
        <v>135.31884423614065</v>
      </c>
      <c r="E186" s="460">
        <v>189.5152590792427</v>
      </c>
      <c r="F186" s="460">
        <v>352.1045036085494</v>
      </c>
      <c r="G186" s="460" t="e">
        <v>#DIV/0!</v>
      </c>
      <c r="H186" s="460">
        <v>-298.2524745086766</v>
      </c>
      <c r="I186" s="460">
        <v>-81.46681513626777</v>
      </c>
      <c r="J186" s="488">
        <v>-38.10968326178612</v>
      </c>
    </row>
    <row r="187" spans="1:10" ht="12.75">
      <c r="A187" s="470" t="s">
        <v>71</v>
      </c>
      <c r="B187" s="472">
        <v>0.06</v>
      </c>
      <c r="C187" s="460">
        <v>76.74424628240165</v>
      </c>
      <c r="D187" s="460">
        <v>102.03908428727888</v>
      </c>
      <c r="E187" s="460">
        <v>127.33392229215609</v>
      </c>
      <c r="F187" s="460">
        <v>177.92359830191077</v>
      </c>
      <c r="G187" s="460">
        <v>329.692626331174</v>
      </c>
      <c r="H187" s="460" t="e">
        <v>#DIV/0!</v>
      </c>
      <c r="I187" s="460">
        <v>-125.61445775661636</v>
      </c>
      <c r="J187" s="488">
        <v>-49.729943741984656</v>
      </c>
    </row>
    <row r="188" spans="1:10" ht="12.75">
      <c r="A188" s="398"/>
      <c r="B188" s="472">
        <v>0.07</v>
      </c>
      <c r="C188" s="460">
        <v>65.88303832788013</v>
      </c>
      <c r="D188" s="460">
        <v>82.06905559630157</v>
      </c>
      <c r="E188" s="460">
        <v>96.23182070617028</v>
      </c>
      <c r="F188" s="460">
        <v>119.8364292226184</v>
      </c>
      <c r="G188" s="460">
        <v>167.0456462555141</v>
      </c>
      <c r="H188" s="460">
        <v>308.6732973542019</v>
      </c>
      <c r="I188" s="460">
        <v>-257.83730704054915</v>
      </c>
      <c r="J188" s="488">
        <v>-69.0004389089654</v>
      </c>
    </row>
    <row r="189" spans="1:10" ht="12.75">
      <c r="A189" s="398"/>
      <c r="B189" s="473">
        <v>0.075</v>
      </c>
      <c r="C189" s="460">
        <v>61.541374382173004</v>
      </c>
      <c r="D189" s="460">
        <v>74.806540899259</v>
      </c>
      <c r="E189" s="625">
        <v>85.86084633016401</v>
      </c>
      <c r="F189" s="460">
        <v>103.23189772158628</v>
      </c>
      <c r="G189" s="460">
        <v>134.49979022614608</v>
      </c>
      <c r="H189" s="474">
        <v>207.45820607011945</v>
      </c>
      <c r="I189" s="460">
        <v>-522.1259523696118</v>
      </c>
      <c r="J189" s="488">
        <v>-84.3754573057734</v>
      </c>
    </row>
    <row r="190" spans="1:10" ht="12.75">
      <c r="A190" s="398"/>
      <c r="B190" s="472">
        <v>0.08</v>
      </c>
      <c r="C190" s="460">
        <v>57.74412103039965</v>
      </c>
      <c r="D190" s="460">
        <v>68.75405101247145</v>
      </c>
      <c r="E190" s="460">
        <v>77.5619949981289</v>
      </c>
      <c r="F190" s="460">
        <v>90.77391097661517</v>
      </c>
      <c r="G190" s="460">
        <v>112.79377094075869</v>
      </c>
      <c r="H190" s="460">
        <v>156.83349086904613</v>
      </c>
      <c r="I190" s="460" t="e">
        <v>#DIV/0!</v>
      </c>
      <c r="J190" s="488">
        <v>-107.40482870067785</v>
      </c>
    </row>
    <row r="191" spans="1:10" ht="12.75">
      <c r="A191" s="398"/>
      <c r="B191" s="472">
        <v>0.09</v>
      </c>
      <c r="C191" s="460">
        <v>51.41975437520297</v>
      </c>
      <c r="D191" s="460">
        <v>59.24204160408321</v>
      </c>
      <c r="E191" s="460">
        <v>65.1087570257434</v>
      </c>
      <c r="F191" s="460">
        <v>73.32215861606774</v>
      </c>
      <c r="G191" s="460">
        <v>85.64226100155406</v>
      </c>
      <c r="H191" s="460">
        <v>106.17576497736484</v>
      </c>
      <c r="I191" s="460">
        <v>270.4437967838504</v>
      </c>
      <c r="J191" s="488">
        <v>-222.36029863560614</v>
      </c>
    </row>
    <row r="192" spans="1:10" ht="12.75">
      <c r="A192" s="398"/>
      <c r="B192" s="472">
        <v>0.1</v>
      </c>
      <c r="C192" s="460">
        <v>46.365310853782844</v>
      </c>
      <c r="D192" s="460">
        <v>52.107003671957564</v>
      </c>
      <c r="E192" s="460">
        <v>56.20821282779665</v>
      </c>
      <c r="F192" s="460">
        <v>61.67649170224884</v>
      </c>
      <c r="G192" s="460">
        <v>69.33208212648174</v>
      </c>
      <c r="H192" s="460">
        <v>80.81546776283129</v>
      </c>
      <c r="I192" s="460">
        <v>138.2323959445786</v>
      </c>
      <c r="J192" s="488" t="e">
        <v>#DIV/0!</v>
      </c>
    </row>
    <row r="193" spans="1:10" ht="12.75">
      <c r="A193" s="398"/>
      <c r="B193" s="472">
        <v>0.11</v>
      </c>
      <c r="C193" s="460">
        <v>42.234223301571184</v>
      </c>
      <c r="D193" s="460">
        <v>46.556694344994774</v>
      </c>
      <c r="E193" s="460">
        <v>49.528393187348506</v>
      </c>
      <c r="F193" s="460">
        <v>53.34914884180334</v>
      </c>
      <c r="G193" s="460">
        <v>58.44348971440968</v>
      </c>
      <c r="H193" s="460">
        <v>65.5755669360587</v>
      </c>
      <c r="I193" s="460">
        <v>94.10387582265453</v>
      </c>
      <c r="J193" s="488">
        <v>236.74542025563386</v>
      </c>
    </row>
    <row r="194" spans="1:10" ht="12.75">
      <c r="A194" s="398"/>
      <c r="B194" s="472">
        <v>0.12</v>
      </c>
      <c r="C194" s="460">
        <v>38.79545888896877</v>
      </c>
      <c r="D194" s="460">
        <v>42.11576175721561</v>
      </c>
      <c r="E194" s="460">
        <v>44.3292970027135</v>
      </c>
      <c r="F194" s="460">
        <v>47.09621605958593</v>
      </c>
      <c r="G194" s="460">
        <v>50.65368341842178</v>
      </c>
      <c r="H194" s="460">
        <v>55.39697323020304</v>
      </c>
      <c r="I194" s="460">
        <v>71.99848757143727</v>
      </c>
      <c r="J194" s="488">
        <v>121.80303059514011</v>
      </c>
    </row>
    <row r="195" spans="1:10" ht="12.75">
      <c r="A195" s="398"/>
      <c r="B195" s="472">
        <v>0.13</v>
      </c>
      <c r="C195" s="460">
        <v>35.88908210052732</v>
      </c>
      <c r="D195" s="460">
        <v>38.48170416909623</v>
      </c>
      <c r="E195" s="460">
        <v>40.16690851366603</v>
      </c>
      <c r="F195" s="460">
        <v>42.22660271258471</v>
      </c>
      <c r="G195" s="460">
        <v>44.80122046123296</v>
      </c>
      <c r="H195" s="460">
        <v>48.111443280923694</v>
      </c>
      <c r="I195" s="460">
        <v>58.704156303933864</v>
      </c>
      <c r="J195" s="488">
        <v>83.42048669095767</v>
      </c>
    </row>
    <row r="196" spans="1:10" ht="12.75">
      <c r="A196" s="398"/>
      <c r="B196" s="472">
        <v>0.14</v>
      </c>
      <c r="C196" s="460">
        <v>33.40086220341412</v>
      </c>
      <c r="D196" s="460">
        <v>35.45284948692018</v>
      </c>
      <c r="E196" s="460">
        <v>36.75865957642404</v>
      </c>
      <c r="F196" s="460">
        <v>38.32563168382871</v>
      </c>
      <c r="G196" s="460">
        <v>40.240819815101005</v>
      </c>
      <c r="H196" s="460">
        <v>42.63480497919146</v>
      </c>
      <c r="I196" s="460">
        <v>49.81676047146269</v>
      </c>
      <c r="J196" s="488">
        <v>64.18067145600521</v>
      </c>
    </row>
    <row r="197" spans="1:10" ht="12.75">
      <c r="A197" s="398"/>
      <c r="B197" s="472">
        <v>0.15</v>
      </c>
      <c r="C197" s="460">
        <v>31.247037772769485</v>
      </c>
      <c r="D197" s="460">
        <v>32.889574969594015</v>
      </c>
      <c r="E197" s="460">
        <v>33.91616071760935</v>
      </c>
      <c r="F197" s="460">
        <v>35.12939841980932</v>
      </c>
      <c r="G197" s="460">
        <v>36.58528366244922</v>
      </c>
      <c r="H197" s="460">
        <v>38.36469895900917</v>
      </c>
      <c r="I197" s="460">
        <v>43.44874266346606</v>
      </c>
      <c r="J197" s="488">
        <v>52.600021331488534</v>
      </c>
    </row>
    <row r="198" spans="1:10" ht="12.75">
      <c r="A198" s="398"/>
      <c r="B198" s="472">
        <v>0.18</v>
      </c>
      <c r="C198" s="460">
        <v>26.233616371611568</v>
      </c>
      <c r="D198" s="460">
        <v>27.12055152062433</v>
      </c>
      <c r="E198" s="460">
        <v>27.652712610031987</v>
      </c>
      <c r="F198" s="460">
        <v>28.260896712212197</v>
      </c>
      <c r="G198" s="460">
        <v>28.96264759934316</v>
      </c>
      <c r="H198" s="460">
        <v>29.781356967662656</v>
      </c>
      <c r="I198" s="460">
        <v>31.910001325293305</v>
      </c>
      <c r="J198" s="488">
        <v>35.1029678617393</v>
      </c>
    </row>
    <row r="199" spans="1:10" ht="12.75">
      <c r="A199" s="398"/>
      <c r="B199" s="472">
        <v>0.2</v>
      </c>
      <c r="C199" s="460">
        <v>23.735220504406527</v>
      </c>
      <c r="D199" s="460">
        <v>24.341862731406074</v>
      </c>
      <c r="E199" s="460">
        <v>24.69871110022934</v>
      </c>
      <c r="F199" s="460">
        <v>25.100165515155535</v>
      </c>
      <c r="G199" s="460">
        <v>25.55514718540519</v>
      </c>
      <c r="H199" s="460">
        <v>26.075126237119104</v>
      </c>
      <c r="I199" s="460">
        <v>27.375073866403866</v>
      </c>
      <c r="J199" s="488">
        <v>29.195000547402554</v>
      </c>
    </row>
    <row r="200" spans="1:10" ht="12.75">
      <c r="A200" s="398"/>
      <c r="B200" s="475"/>
      <c r="C200" s="460"/>
      <c r="D200" s="460"/>
      <c r="E200" s="460"/>
      <c r="F200" s="460"/>
      <c r="G200" s="460"/>
      <c r="H200" s="460"/>
      <c r="I200" s="460"/>
      <c r="J200" s="488"/>
    </row>
    <row r="201" spans="1:10" ht="13.5" thickBot="1">
      <c r="A201" s="416"/>
      <c r="B201" s="476"/>
      <c r="C201" s="447"/>
      <c r="D201" s="447"/>
      <c r="E201" s="447"/>
      <c r="F201" s="447"/>
      <c r="G201" s="447"/>
      <c r="H201" s="447"/>
      <c r="I201" s="447"/>
      <c r="J201" s="448"/>
    </row>
    <row r="202" spans="1:10" ht="13.5" thickTop="1">
      <c r="A202" s="402"/>
      <c r="B202" s="486"/>
      <c r="C202" s="487"/>
      <c r="D202" s="487"/>
      <c r="E202" s="487"/>
      <c r="F202" s="487"/>
      <c r="G202" s="487"/>
      <c r="H202" s="487"/>
      <c r="I202" s="487"/>
      <c r="J202" s="487"/>
    </row>
    <row r="203" spans="1:10" ht="13.5" thickBot="1">
      <c r="A203" s="417"/>
      <c r="B203" s="476"/>
      <c r="C203" s="447"/>
      <c r="D203" s="447"/>
      <c r="E203" s="447"/>
      <c r="F203" s="447"/>
      <c r="G203" s="447"/>
      <c r="H203" s="447"/>
      <c r="I203" s="447"/>
      <c r="J203" s="447"/>
    </row>
    <row r="204" spans="1:10" ht="13.5" thickTop="1">
      <c r="A204" s="419" t="s">
        <v>474</v>
      </c>
      <c r="B204" s="420"/>
      <c r="C204" s="421" t="str">
        <f>C18</f>
        <v>VALUATION MODELS</v>
      </c>
      <c r="D204" s="421"/>
      <c r="E204" s="422"/>
      <c r="F204" s="422"/>
      <c r="G204" s="422"/>
      <c r="H204" s="422"/>
      <c r="I204" s="422"/>
      <c r="J204" s="423"/>
    </row>
    <row r="205" spans="1:10" ht="12.75">
      <c r="A205" s="394" t="str">
        <f>Data!$A$9</f>
        <v>Analyst Name:</v>
      </c>
      <c r="B205" s="395"/>
      <c r="C205" s="188" t="str">
        <f>Data!$B$9</f>
        <v>Wahlen, Baginski &amp; Bradshaw</v>
      </c>
      <c r="D205" s="190"/>
      <c r="E205" s="185"/>
      <c r="F205" s="191"/>
      <c r="G205" s="191"/>
      <c r="H205" s="191"/>
      <c r="I205" s="191"/>
      <c r="J205" s="396"/>
    </row>
    <row r="206" spans="1:10" ht="12.75">
      <c r="A206" s="394" t="str">
        <f>Data!$A$10</f>
        <v>Company Name:</v>
      </c>
      <c r="B206" s="397"/>
      <c r="C206" s="188" t="str">
        <f>Data!$B$10</f>
        <v>PepsiCo</v>
      </c>
      <c r="D206" s="185"/>
      <c r="E206" s="241"/>
      <c r="F206" s="191"/>
      <c r="G206" s="191"/>
      <c r="H206" s="191"/>
      <c r="I206" s="191"/>
      <c r="J206" s="396"/>
    </row>
    <row r="207" spans="1:10" ht="12.75">
      <c r="A207" s="424"/>
      <c r="B207" s="70"/>
      <c r="C207" s="425"/>
      <c r="D207" s="70"/>
      <c r="E207" s="70"/>
      <c r="F207" s="70"/>
      <c r="G207" s="70"/>
      <c r="H207" s="70"/>
      <c r="I207" s="70"/>
      <c r="J207" s="426" t="s">
        <v>56</v>
      </c>
    </row>
    <row r="208" spans="1:12" ht="12.75">
      <c r="A208" s="429" t="s">
        <v>72</v>
      </c>
      <c r="B208" s="430"/>
      <c r="C208" s="430"/>
      <c r="D208" s="430"/>
      <c r="E208" s="427">
        <v>1</v>
      </c>
      <c r="F208" s="427">
        <v>2</v>
      </c>
      <c r="G208" s="427">
        <v>3</v>
      </c>
      <c r="H208" s="427">
        <v>4</v>
      </c>
      <c r="I208" s="427">
        <v>5</v>
      </c>
      <c r="J208" s="428" t="s">
        <v>57</v>
      </c>
      <c r="L208" s="109" t="s">
        <v>208</v>
      </c>
    </row>
    <row r="209" spans="1:12" ht="12.75">
      <c r="A209" s="429" t="s">
        <v>81</v>
      </c>
      <c r="B209" s="430"/>
      <c r="C209" s="430"/>
      <c r="D209" s="430"/>
      <c r="E209" s="431" t="s">
        <v>484</v>
      </c>
      <c r="F209" s="431" t="s">
        <v>485</v>
      </c>
      <c r="G209" s="431" t="s">
        <v>486</v>
      </c>
      <c r="H209" s="431" t="s">
        <v>487</v>
      </c>
      <c r="I209" s="431" t="s">
        <v>488</v>
      </c>
      <c r="J209" s="432" t="s">
        <v>489</v>
      </c>
      <c r="L209" s="433" t="s">
        <v>219</v>
      </c>
    </row>
    <row r="210" spans="1:10" ht="12.75">
      <c r="A210" s="435" t="s">
        <v>73</v>
      </c>
      <c r="B210" s="70"/>
      <c r="C210" s="70"/>
      <c r="D210" s="70"/>
      <c r="E210" s="70"/>
      <c r="F210" s="70"/>
      <c r="G210" s="70"/>
      <c r="H210" s="70"/>
      <c r="I210" s="70"/>
      <c r="J210" s="404"/>
    </row>
    <row r="211" spans="1:12" ht="12.75">
      <c r="A211" s="435" t="s">
        <v>74</v>
      </c>
      <c r="B211" s="70"/>
      <c r="C211" s="70"/>
      <c r="D211" s="70"/>
      <c r="E211" s="436">
        <f aca="true" t="shared" si="4" ref="E211:J211">E154</f>
        <v>6094.747149211339</v>
      </c>
      <c r="F211" s="436">
        <f t="shared" si="4"/>
        <v>6376.607570937102</v>
      </c>
      <c r="G211" s="436">
        <f t="shared" si="4"/>
        <v>6598.326779831796</v>
      </c>
      <c r="H211" s="436">
        <f t="shared" si="4"/>
        <v>6972.175305069118</v>
      </c>
      <c r="I211" s="436">
        <f t="shared" si="4"/>
        <v>7064.18697912769</v>
      </c>
      <c r="J211" s="437">
        <f t="shared" si="4"/>
        <v>7276.112588501516</v>
      </c>
      <c r="L211" s="17" t="s">
        <v>563</v>
      </c>
    </row>
    <row r="212" spans="1:10" ht="12.75">
      <c r="A212" s="434" t="s">
        <v>75</v>
      </c>
      <c r="B212" s="214"/>
      <c r="C212" s="214"/>
      <c r="D212" s="214"/>
      <c r="E212" s="436"/>
      <c r="F212" s="480"/>
      <c r="G212" s="480"/>
      <c r="H212" s="480"/>
      <c r="I212" s="480"/>
      <c r="J212" s="442"/>
    </row>
    <row r="213" spans="1:12" ht="12.75">
      <c r="A213" s="434" t="s">
        <v>76</v>
      </c>
      <c r="B213" s="214"/>
      <c r="C213" s="214"/>
      <c r="D213" s="214"/>
      <c r="E213" s="436">
        <f aca="true" t="shared" si="5" ref="E213:J213">E156</f>
        <v>22417</v>
      </c>
      <c r="F213" s="436">
        <f t="shared" si="5"/>
        <v>22020.33886608613</v>
      </c>
      <c r="G213" s="436">
        <f t="shared" si="5"/>
        <v>22417.900033939033</v>
      </c>
      <c r="H213" s="436">
        <f t="shared" si="5"/>
        <v>22749.49673490531</v>
      </c>
      <c r="I213" s="436">
        <f t="shared" si="5"/>
        <v>23259.541947046513</v>
      </c>
      <c r="J213" s="437">
        <f t="shared" si="5"/>
        <v>23315.767575264654</v>
      </c>
      <c r="L213" s="17" t="s">
        <v>565</v>
      </c>
    </row>
    <row r="214" spans="1:10" ht="12.75">
      <c r="A214" s="434"/>
      <c r="B214" s="214"/>
      <c r="C214" s="214"/>
      <c r="D214" s="214"/>
      <c r="E214" s="490"/>
      <c r="F214" s="490"/>
      <c r="G214" s="490"/>
      <c r="H214" s="490"/>
      <c r="I214" s="490"/>
      <c r="J214" s="491"/>
    </row>
    <row r="215" spans="1:12" ht="12.75">
      <c r="A215" s="434" t="s">
        <v>82</v>
      </c>
      <c r="B215" s="214"/>
      <c r="C215" s="214"/>
      <c r="D215" s="214"/>
      <c r="E215" s="492">
        <f aca="true" t="shared" si="6" ref="E215:J215">E211/E213</f>
        <v>0.2718805883575563</v>
      </c>
      <c r="F215" s="492">
        <f t="shared" si="6"/>
        <v>0.28957808550157305</v>
      </c>
      <c r="G215" s="492">
        <f t="shared" si="6"/>
        <v>0.29433295580060664</v>
      </c>
      <c r="H215" s="492">
        <f t="shared" si="6"/>
        <v>0.3064760239012882</v>
      </c>
      <c r="I215" s="492">
        <f t="shared" si="6"/>
        <v>0.3037113540417204</v>
      </c>
      <c r="J215" s="493">
        <f t="shared" si="6"/>
        <v>0.3120683273674693</v>
      </c>
      <c r="L215" s="17" t="s">
        <v>225</v>
      </c>
    </row>
    <row r="216" spans="1:12" ht="12.75">
      <c r="A216" s="434" t="s">
        <v>83</v>
      </c>
      <c r="B216" s="214"/>
      <c r="C216" s="214"/>
      <c r="D216" s="214"/>
      <c r="E216" s="492">
        <f aca="true" t="shared" si="7" ref="E216:J216">E215-$F$37</f>
        <v>0.19688058835755629</v>
      </c>
      <c r="F216" s="492">
        <f t="shared" si="7"/>
        <v>0.21457808550157303</v>
      </c>
      <c r="G216" s="492">
        <f t="shared" si="7"/>
        <v>0.21933295580060663</v>
      </c>
      <c r="H216" s="492">
        <f t="shared" si="7"/>
        <v>0.23147602390128819</v>
      </c>
      <c r="I216" s="492">
        <f t="shared" si="7"/>
        <v>0.22871135404172038</v>
      </c>
      <c r="J216" s="493">
        <f t="shared" si="7"/>
        <v>0.2370683273674693</v>
      </c>
      <c r="L216" s="17" t="s">
        <v>226</v>
      </c>
    </row>
    <row r="217" spans="1:12" ht="12.75">
      <c r="A217" s="434" t="s">
        <v>228</v>
      </c>
      <c r="B217" s="214"/>
      <c r="C217" s="214"/>
      <c r="D217" s="214"/>
      <c r="E217" s="654">
        <f aca="true" t="shared" si="8" ref="E217:J217">E213/$E$213</f>
        <v>1</v>
      </c>
      <c r="F217" s="654">
        <f t="shared" si="8"/>
        <v>0.9823053426455873</v>
      </c>
      <c r="G217" s="654">
        <f t="shared" si="8"/>
        <v>1.0000401496158733</v>
      </c>
      <c r="H217" s="654">
        <f t="shared" si="8"/>
        <v>1.0148323475445113</v>
      </c>
      <c r="I217" s="654">
        <f t="shared" si="8"/>
        <v>1.037584955482291</v>
      </c>
      <c r="J217" s="655">
        <f t="shared" si="8"/>
        <v>1.0400931246493579</v>
      </c>
      <c r="L217" s="17" t="s">
        <v>229</v>
      </c>
    </row>
    <row r="218" spans="1:12" ht="12.75">
      <c r="A218" s="494" t="s">
        <v>511</v>
      </c>
      <c r="B218" s="438"/>
      <c r="C218" s="438"/>
      <c r="D218" s="438"/>
      <c r="E218" s="495">
        <f aca="true" t="shared" si="9" ref="E218:J218">E216*E217</f>
        <v>0.19688058835755629</v>
      </c>
      <c r="F218" s="495">
        <f t="shared" si="9"/>
        <v>0.21078119980285684</v>
      </c>
      <c r="G218" s="495">
        <f t="shared" si="9"/>
        <v>0.21934176193453037</v>
      </c>
      <c r="H218" s="495">
        <f t="shared" si="9"/>
        <v>0.2349093567360137</v>
      </c>
      <c r="I218" s="495">
        <f t="shared" si="9"/>
        <v>0.23730746010167292</v>
      </c>
      <c r="J218" s="496">
        <f t="shared" si="9"/>
        <v>0.24657313736702802</v>
      </c>
      <c r="L218" s="17" t="s">
        <v>227</v>
      </c>
    </row>
    <row r="219" spans="1:10" ht="12.75">
      <c r="A219" s="398"/>
      <c r="B219" s="214"/>
      <c r="C219" s="214"/>
      <c r="D219" s="214"/>
      <c r="E219" s="492"/>
      <c r="F219" s="492"/>
      <c r="G219" s="492"/>
      <c r="H219" s="492"/>
      <c r="I219" s="492"/>
      <c r="J219" s="493"/>
    </row>
    <row r="220" spans="1:12" ht="12.75">
      <c r="A220" s="434" t="s">
        <v>63</v>
      </c>
      <c r="B220" s="214"/>
      <c r="C220" s="214"/>
      <c r="D220" s="214"/>
      <c r="E220" s="656">
        <f>1/(1+$F$37)^E208</f>
        <v>0.9302325581395349</v>
      </c>
      <c r="F220" s="656">
        <f>1/(1+$F$37)^F208</f>
        <v>0.8653326122228232</v>
      </c>
      <c r="G220" s="656">
        <f>1/(1+$F$37)^G208</f>
        <v>0.804960569509603</v>
      </c>
      <c r="H220" s="656">
        <f>1/(1+$F$37)^H208</f>
        <v>0.7488005297763749</v>
      </c>
      <c r="I220" s="656">
        <f>1/(1+$F$37)^I208</f>
        <v>0.6965586323501162</v>
      </c>
      <c r="J220" s="456"/>
      <c r="L220" s="17" t="s">
        <v>554</v>
      </c>
    </row>
    <row r="221" spans="1:10" ht="12.75">
      <c r="A221" s="434" t="s">
        <v>679</v>
      </c>
      <c r="B221" s="214"/>
      <c r="C221" s="214"/>
      <c r="D221" s="214"/>
      <c r="E221" s="657">
        <f>E218*E220</f>
        <v>0.1831447333558663</v>
      </c>
      <c r="F221" s="657">
        <f>F218*F220</f>
        <v>0.18239584623286695</v>
      </c>
      <c r="G221" s="657">
        <f>G218*G220</f>
        <v>0.17656146960405933</v>
      </c>
      <c r="H221" s="657">
        <f>H218*H220</f>
        <v>0.1759002507733545</v>
      </c>
      <c r="I221" s="657">
        <f>I218*I220</f>
        <v>0.16529855985490105</v>
      </c>
      <c r="J221" s="497"/>
    </row>
    <row r="222" spans="1:12" ht="12.75">
      <c r="A222" s="434" t="s">
        <v>680</v>
      </c>
      <c r="B222" s="214"/>
      <c r="C222" s="214"/>
      <c r="D222" s="214"/>
      <c r="E222" s="498">
        <f>SUM(E221:I221)</f>
        <v>0.8833008598210481</v>
      </c>
      <c r="F222" s="478"/>
      <c r="G222" s="478"/>
      <c r="H222" s="478"/>
      <c r="I222" s="478"/>
      <c r="J222" s="479"/>
      <c r="L222" s="17" t="s">
        <v>512</v>
      </c>
    </row>
    <row r="223" spans="1:12" ht="12.75">
      <c r="A223" s="398" t="s">
        <v>673</v>
      </c>
      <c r="B223" s="70"/>
      <c r="C223" s="70"/>
      <c r="D223" s="70"/>
      <c r="E223" s="658">
        <f>J218/($F$37-$F$30)*$I$220</f>
        <v>3.8167254964145414</v>
      </c>
      <c r="F223" s="478"/>
      <c r="G223" s="478"/>
      <c r="H223" s="478"/>
      <c r="I223" s="478"/>
      <c r="J223" s="479"/>
      <c r="L223" s="17" t="s">
        <v>513</v>
      </c>
    </row>
    <row r="224" spans="1:10" ht="12.75">
      <c r="A224" s="434" t="s">
        <v>681</v>
      </c>
      <c r="B224" s="214"/>
      <c r="C224" s="214"/>
      <c r="D224" s="214"/>
      <c r="E224" s="498">
        <f>E222+E223</f>
        <v>4.70002635623559</v>
      </c>
      <c r="F224" s="478"/>
      <c r="G224" s="478"/>
      <c r="H224" s="481"/>
      <c r="I224" s="152"/>
      <c r="J224" s="500"/>
    </row>
    <row r="225" spans="1:10" ht="12.75">
      <c r="A225" s="398" t="s">
        <v>84</v>
      </c>
      <c r="B225" s="70"/>
      <c r="C225" s="70"/>
      <c r="D225" s="70"/>
      <c r="E225" s="659">
        <v>1</v>
      </c>
      <c r="F225" s="152"/>
      <c r="G225" s="483"/>
      <c r="H225" s="483"/>
      <c r="I225" s="483"/>
      <c r="J225" s="484"/>
    </row>
    <row r="226" spans="1:10" ht="12.75">
      <c r="A226" s="398" t="s">
        <v>808</v>
      </c>
      <c r="B226" s="70"/>
      <c r="C226" s="70"/>
      <c r="D226" s="70"/>
      <c r="E226" s="499">
        <f>E224+E225</f>
        <v>5.70002635623559</v>
      </c>
      <c r="F226" s="152"/>
      <c r="G226" s="152"/>
      <c r="H226" s="152"/>
      <c r="I226" s="483"/>
      <c r="J226" s="484"/>
    </row>
    <row r="227" spans="1:12" ht="12.75">
      <c r="A227" s="434" t="s">
        <v>85</v>
      </c>
      <c r="B227" s="214"/>
      <c r="C227" s="214"/>
      <c r="D227" s="214"/>
      <c r="E227" s="660">
        <f>(1+$F$37/2)</f>
        <v>1.0375</v>
      </c>
      <c r="F227" s="152"/>
      <c r="G227" s="152"/>
      <c r="H227" s="152"/>
      <c r="I227" s="483"/>
      <c r="J227" s="484"/>
      <c r="L227" s="17" t="s">
        <v>204</v>
      </c>
    </row>
    <row r="228" spans="1:12" ht="12.75">
      <c r="A228" s="398" t="s">
        <v>86</v>
      </c>
      <c r="B228" s="70"/>
      <c r="C228" s="70"/>
      <c r="D228" s="70"/>
      <c r="E228" s="501">
        <f>E226*E227</f>
        <v>5.913777344594425</v>
      </c>
      <c r="F228" s="152"/>
      <c r="G228" s="152"/>
      <c r="H228" s="152"/>
      <c r="I228" s="483"/>
      <c r="J228" s="484"/>
      <c r="L228" s="17" t="s">
        <v>525</v>
      </c>
    </row>
    <row r="229" spans="1:10" ht="12.75">
      <c r="A229" s="398" t="s">
        <v>87</v>
      </c>
      <c r="B229" s="70"/>
      <c r="C229" s="70"/>
      <c r="D229" s="70"/>
      <c r="E229" s="661">
        <f>E213</f>
        <v>22417</v>
      </c>
      <c r="F229" s="152"/>
      <c r="G229" s="152"/>
      <c r="H229" s="152"/>
      <c r="I229" s="483"/>
      <c r="J229" s="484"/>
    </row>
    <row r="230" spans="1:10" ht="12.75">
      <c r="A230" s="434" t="s">
        <v>815</v>
      </c>
      <c r="B230" s="214"/>
      <c r="C230" s="214"/>
      <c r="D230" s="214"/>
      <c r="E230" s="436">
        <f>E228*E229</f>
        <v>132569.1467337732</v>
      </c>
      <c r="F230" s="152"/>
      <c r="G230" s="152"/>
      <c r="H230" s="152"/>
      <c r="I230" s="483"/>
      <c r="J230" s="484"/>
    </row>
    <row r="231" spans="1:10" ht="12.75">
      <c r="A231" s="434" t="s">
        <v>65</v>
      </c>
      <c r="B231" s="214"/>
      <c r="C231" s="214"/>
      <c r="D231" s="214"/>
      <c r="E231" s="436">
        <f>$F$25</f>
        <v>1544</v>
      </c>
      <c r="F231" s="211"/>
      <c r="G231" s="152"/>
      <c r="H231" s="152"/>
      <c r="I231" s="483"/>
      <c r="J231" s="484"/>
    </row>
    <row r="232" spans="1:12" ht="13.5" thickBot="1">
      <c r="A232" s="434" t="s">
        <v>809</v>
      </c>
      <c r="B232" s="214"/>
      <c r="C232" s="214"/>
      <c r="D232" s="214"/>
      <c r="E232" s="653">
        <f>E230/E231</f>
        <v>85.860846330164</v>
      </c>
      <c r="F232" s="152"/>
      <c r="G232" s="152"/>
      <c r="H232" s="152"/>
      <c r="I232" s="483"/>
      <c r="J232" s="484"/>
      <c r="L232" s="17" t="s">
        <v>207</v>
      </c>
    </row>
    <row r="233" spans="1:10" ht="13.5" thickTop="1">
      <c r="A233" s="398"/>
      <c r="B233" s="70"/>
      <c r="C233" s="70"/>
      <c r="D233" s="70"/>
      <c r="E233" s="152"/>
      <c r="F233" s="152"/>
      <c r="G233" s="152"/>
      <c r="H233" s="152"/>
      <c r="I233" s="483"/>
      <c r="J233" s="484"/>
    </row>
    <row r="234" spans="1:10" ht="12.75">
      <c r="A234" s="398" t="s">
        <v>50</v>
      </c>
      <c r="B234" s="70"/>
      <c r="C234" s="70"/>
      <c r="D234" s="70"/>
      <c r="E234" s="485">
        <f>$F$24</f>
        <v>68.43</v>
      </c>
      <c r="F234" s="152"/>
      <c r="G234" s="152"/>
      <c r="H234" s="152"/>
      <c r="I234" s="483"/>
      <c r="J234" s="484"/>
    </row>
    <row r="235" spans="1:12" ht="12.75">
      <c r="A235" s="398" t="s">
        <v>66</v>
      </c>
      <c r="B235" s="70"/>
      <c r="C235" s="70"/>
      <c r="D235" s="70"/>
      <c r="E235" s="516">
        <f>E232/E234-1</f>
        <v>0.2547252130668418</v>
      </c>
      <c r="F235" s="152"/>
      <c r="G235" s="152"/>
      <c r="H235" s="152"/>
      <c r="I235" s="483"/>
      <c r="J235" s="484"/>
      <c r="L235" s="17" t="s">
        <v>67</v>
      </c>
    </row>
    <row r="236" spans="1:10" ht="12.75">
      <c r="A236" s="398"/>
      <c r="B236" s="70"/>
      <c r="C236" s="70"/>
      <c r="D236" s="70"/>
      <c r="E236" s="70"/>
      <c r="F236" s="70"/>
      <c r="G236" s="70"/>
      <c r="H236" s="70"/>
      <c r="I236" s="70"/>
      <c r="J236" s="488"/>
    </row>
    <row r="237" spans="1:10" ht="13.5" thickBot="1">
      <c r="A237" s="416" t="s">
        <v>88</v>
      </c>
      <c r="B237" s="417"/>
      <c r="C237" s="417"/>
      <c r="D237" s="417"/>
      <c r="E237" s="417"/>
      <c r="F237" s="417"/>
      <c r="G237" s="417"/>
      <c r="H237" s="417"/>
      <c r="I237" s="417"/>
      <c r="J237" s="418"/>
    </row>
    <row r="238" spans="1:10" ht="13.5" thickTop="1">
      <c r="A238" s="402"/>
      <c r="B238" s="402"/>
      <c r="C238" s="402"/>
      <c r="D238" s="402"/>
      <c r="E238" s="402"/>
      <c r="F238" s="402"/>
      <c r="G238" s="402"/>
      <c r="H238" s="402"/>
      <c r="I238" s="402"/>
      <c r="J238" s="402"/>
    </row>
    <row r="239" spans="1:10" ht="13.5" thickBot="1">
      <c r="A239" s="483"/>
      <c r="B239" s="483"/>
      <c r="C239" s="483"/>
      <c r="D239" s="483"/>
      <c r="E239" s="483"/>
      <c r="F239" s="483"/>
      <c r="G239" s="483"/>
      <c r="H239" s="483"/>
      <c r="I239" s="483"/>
      <c r="J239" s="483"/>
    </row>
    <row r="240" spans="1:10" ht="13.5" thickTop="1">
      <c r="A240" s="419" t="s">
        <v>474</v>
      </c>
      <c r="B240" s="420"/>
      <c r="C240" s="421" t="str">
        <f>C18</f>
        <v>VALUATION MODELS</v>
      </c>
      <c r="D240" s="421"/>
      <c r="E240" s="422"/>
      <c r="F240" s="422"/>
      <c r="G240" s="422"/>
      <c r="H240" s="422"/>
      <c r="I240" s="422"/>
      <c r="J240" s="423"/>
    </row>
    <row r="241" spans="1:10" ht="12.75">
      <c r="A241" s="394" t="str">
        <f>Data!$A$9</f>
        <v>Analyst Name:</v>
      </c>
      <c r="B241" s="395"/>
      <c r="C241" s="188" t="str">
        <f>Data!$B$9</f>
        <v>Wahlen, Baginski &amp; Bradshaw</v>
      </c>
      <c r="D241" s="190"/>
      <c r="E241" s="185"/>
      <c r="F241" s="191"/>
      <c r="G241" s="191"/>
      <c r="H241" s="191"/>
      <c r="I241" s="191"/>
      <c r="J241" s="396"/>
    </row>
    <row r="242" spans="1:10" ht="12.75">
      <c r="A242" s="394" t="str">
        <f>Data!$A$10</f>
        <v>Company Name:</v>
      </c>
      <c r="B242" s="397"/>
      <c r="C242" s="188" t="str">
        <f>Data!$B$10</f>
        <v>PepsiCo</v>
      </c>
      <c r="D242" s="185"/>
      <c r="E242" s="241"/>
      <c r="F242" s="191"/>
      <c r="G242" s="191"/>
      <c r="H242" s="191"/>
      <c r="I242" s="191"/>
      <c r="J242" s="396"/>
    </row>
    <row r="243" spans="1:10" ht="12.75">
      <c r="A243" s="424"/>
      <c r="B243" s="70"/>
      <c r="C243" s="425"/>
      <c r="D243" s="70"/>
      <c r="E243" s="70"/>
      <c r="F243" s="70"/>
      <c r="G243" s="70"/>
      <c r="H243" s="502"/>
      <c r="I243" s="503"/>
      <c r="J243" s="426" t="s">
        <v>56</v>
      </c>
    </row>
    <row r="244" spans="1:12" ht="12.75">
      <c r="A244" s="453"/>
      <c r="B244" s="453"/>
      <c r="C244" s="453"/>
      <c r="D244" s="453"/>
      <c r="E244" s="427">
        <v>1</v>
      </c>
      <c r="F244" s="427">
        <v>2</v>
      </c>
      <c r="G244" s="427">
        <v>3</v>
      </c>
      <c r="H244" s="427">
        <v>4</v>
      </c>
      <c r="I244" s="427">
        <v>5</v>
      </c>
      <c r="J244" s="428" t="s">
        <v>57</v>
      </c>
      <c r="L244" s="109" t="s">
        <v>528</v>
      </c>
    </row>
    <row r="245" spans="1:12" ht="12.75">
      <c r="A245" s="429" t="s">
        <v>196</v>
      </c>
      <c r="B245" s="430"/>
      <c r="C245" s="430"/>
      <c r="D245" s="430"/>
      <c r="E245" s="431" t="s">
        <v>484</v>
      </c>
      <c r="F245" s="431" t="s">
        <v>485</v>
      </c>
      <c r="G245" s="431" t="s">
        <v>486</v>
      </c>
      <c r="H245" s="431" t="s">
        <v>487</v>
      </c>
      <c r="I245" s="431" t="s">
        <v>488</v>
      </c>
      <c r="J245" s="432" t="s">
        <v>489</v>
      </c>
      <c r="L245" s="433" t="s">
        <v>218</v>
      </c>
    </row>
    <row r="246" spans="1:10" ht="12.75">
      <c r="A246" s="434"/>
      <c r="B246" s="70"/>
      <c r="C246" s="70"/>
      <c r="D246" s="70"/>
      <c r="E246" s="152"/>
      <c r="F246" s="152"/>
      <c r="G246" s="152"/>
      <c r="H246" s="152"/>
      <c r="I246" s="152"/>
      <c r="J246" s="426"/>
    </row>
    <row r="247" spans="1:12" ht="12.75">
      <c r="A247" s="435" t="s">
        <v>58</v>
      </c>
      <c r="B247" s="70"/>
      <c r="C247" s="70"/>
      <c r="D247" s="70"/>
      <c r="E247" s="449">
        <f>Forecasts!E300</f>
        <v>9104.259783352081</v>
      </c>
      <c r="F247" s="449">
        <f>Forecasts!F300</f>
        <v>9850.259050283235</v>
      </c>
      <c r="G247" s="449">
        <f>Forecasts!G300</f>
        <v>10344.020821923716</v>
      </c>
      <c r="H247" s="449">
        <f>Forecasts!H300</f>
        <v>11221.683084640259</v>
      </c>
      <c r="I247" s="449">
        <f>Forecasts!I300</f>
        <v>11113.736447530686</v>
      </c>
      <c r="J247" s="450">
        <f>Forecasts!J300</f>
        <v>8764.380050608102</v>
      </c>
      <c r="L247" s="17" t="s">
        <v>556</v>
      </c>
    </row>
    <row r="248" spans="1:12" ht="12.75">
      <c r="A248" s="434" t="s">
        <v>59</v>
      </c>
      <c r="B248" s="70"/>
      <c r="C248" s="70"/>
      <c r="D248" s="70"/>
      <c r="E248" s="449">
        <f>-Forecasts!E62*(1-(-Forecasts!E75/Forecasts!E71))</f>
        <v>765.6558258846617</v>
      </c>
      <c r="F248" s="449">
        <f>-Forecasts!F62*(1-(-Forecasts!F75/Forecasts!F71))</f>
        <v>793.437101590269</v>
      </c>
      <c r="G248" s="449">
        <f>-Forecasts!G62*(1-(-Forecasts!G75/Forecasts!G71))</f>
        <v>829.4429756342125</v>
      </c>
      <c r="H248" s="449">
        <f>-Forecasts!H62*(1-(-Forecasts!H75/Forecasts!H71))</f>
        <v>872.8322476752545</v>
      </c>
      <c r="I248" s="449">
        <f>-Forecasts!I62*(1-(-Forecasts!I75/Forecasts!I71))</f>
        <v>911.2977609598746</v>
      </c>
      <c r="J248" s="450">
        <f>-Forecasts!J62*(1-(-Forecasts!J75/Forecasts!J71))</f>
        <v>938.6366937886705</v>
      </c>
      <c r="L248" s="17" t="s">
        <v>566</v>
      </c>
    </row>
    <row r="249" spans="1:12" ht="12.75">
      <c r="A249" s="434" t="s">
        <v>60</v>
      </c>
      <c r="B249" s="70"/>
      <c r="C249" s="70"/>
      <c r="D249" s="70"/>
      <c r="E249" s="449">
        <v>0</v>
      </c>
      <c r="F249" s="449">
        <v>0</v>
      </c>
      <c r="G249" s="449">
        <v>0</v>
      </c>
      <c r="H249" s="449">
        <v>0</v>
      </c>
      <c r="I249" s="449">
        <v>0</v>
      </c>
      <c r="J249" s="450">
        <v>0</v>
      </c>
      <c r="L249" s="17" t="s">
        <v>523</v>
      </c>
    </row>
    <row r="250" spans="1:12" ht="12.75">
      <c r="A250" s="504" t="s">
        <v>202</v>
      </c>
      <c r="B250" s="70"/>
      <c r="C250" s="70"/>
      <c r="D250" s="70"/>
      <c r="E250" s="646">
        <f>-Forecasts!E318</f>
        <v>1065.3403682191865</v>
      </c>
      <c r="F250" s="646">
        <f>-Forecasts!F318</f>
        <v>-218.31316284362947</v>
      </c>
      <c r="G250" s="646">
        <f>-Forecasts!G318</f>
        <v>-229.6391544945718</v>
      </c>
      <c r="H250" s="646">
        <f>-Forecasts!H318</f>
        <v>-355.508377202611</v>
      </c>
      <c r="I250" s="646">
        <f>-Forecasts!I318</f>
        <v>-140.5281599823029</v>
      </c>
      <c r="J250" s="647">
        <f>-Forecasts!J318</f>
        <v>-185.26945458909813</v>
      </c>
      <c r="L250" s="180" t="s">
        <v>201</v>
      </c>
    </row>
    <row r="251" spans="1:10" ht="12.75">
      <c r="A251" s="434" t="s">
        <v>61</v>
      </c>
      <c r="B251" s="70"/>
      <c r="C251" s="70"/>
      <c r="D251" s="70"/>
      <c r="E251" s="458">
        <f aca="true" t="shared" si="10" ref="E251:J251">SUM(E247:E250)</f>
        <v>10935.25597745593</v>
      </c>
      <c r="F251" s="458">
        <f t="shared" si="10"/>
        <v>10425.382989029875</v>
      </c>
      <c r="G251" s="458">
        <f t="shared" si="10"/>
        <v>10943.824643063355</v>
      </c>
      <c r="H251" s="458">
        <f t="shared" si="10"/>
        <v>11739.006955112902</v>
      </c>
      <c r="I251" s="458">
        <f t="shared" si="10"/>
        <v>11884.506048508258</v>
      </c>
      <c r="J251" s="457">
        <f t="shared" si="10"/>
        <v>9517.747289807674</v>
      </c>
    </row>
    <row r="252" spans="1:12" ht="12.75">
      <c r="A252" s="435" t="s">
        <v>62</v>
      </c>
      <c r="B252" s="70"/>
      <c r="C252" s="70"/>
      <c r="D252" s="70"/>
      <c r="E252" s="449">
        <f>Forecasts!E308</f>
        <v>-4480.5739014475075</v>
      </c>
      <c r="F252" s="449">
        <f>Forecasts!F308</f>
        <v>-4974.807427380033</v>
      </c>
      <c r="G252" s="449">
        <f>Forecasts!G308</f>
        <v>-5207.380090946651</v>
      </c>
      <c r="H252" s="449">
        <f>Forecasts!H308</f>
        <v>-6280.157698994183</v>
      </c>
      <c r="I252" s="449">
        <f>Forecasts!I308</f>
        <v>-4955.393246759002</v>
      </c>
      <c r="J252" s="450">
        <f>Forecasts!J308</f>
        <v>-3035.8593709658253</v>
      </c>
      <c r="L252" s="17" t="s">
        <v>557</v>
      </c>
    </row>
    <row r="253" spans="1:12" ht="12.75">
      <c r="A253" s="398" t="s">
        <v>251</v>
      </c>
      <c r="B253" s="70"/>
      <c r="C253" s="70"/>
      <c r="D253" s="70"/>
      <c r="E253" s="648">
        <v>0</v>
      </c>
      <c r="F253" s="648">
        <v>0</v>
      </c>
      <c r="G253" s="648">
        <v>0</v>
      </c>
      <c r="H253" s="648">
        <v>0</v>
      </c>
      <c r="I253" s="648">
        <v>0</v>
      </c>
      <c r="J253" s="649">
        <v>0</v>
      </c>
      <c r="L253" s="180" t="s">
        <v>199</v>
      </c>
    </row>
    <row r="254" spans="1:12" ht="12.75">
      <c r="A254" s="429" t="s">
        <v>203</v>
      </c>
      <c r="B254" s="438"/>
      <c r="C254" s="438"/>
      <c r="D254" s="438"/>
      <c r="E254" s="451">
        <f aca="true" t="shared" si="11" ref="E254:J254">SUM(E251:E253)</f>
        <v>6454.682076008423</v>
      </c>
      <c r="F254" s="451">
        <f t="shared" si="11"/>
        <v>5450.575561649842</v>
      </c>
      <c r="G254" s="451">
        <f t="shared" si="11"/>
        <v>5736.4445521167045</v>
      </c>
      <c r="H254" s="451">
        <f t="shared" si="11"/>
        <v>5458.849256118719</v>
      </c>
      <c r="I254" s="451">
        <f t="shared" si="11"/>
        <v>6929.112801749256</v>
      </c>
      <c r="J254" s="452">
        <f t="shared" si="11"/>
        <v>6481.887918841849</v>
      </c>
      <c r="L254" s="17" t="s">
        <v>562</v>
      </c>
    </row>
    <row r="255" spans="1:10" ht="12.75">
      <c r="A255" s="398"/>
      <c r="B255" s="70"/>
      <c r="C255" s="70"/>
      <c r="D255" s="70"/>
      <c r="E255" s="453"/>
      <c r="F255" s="453"/>
      <c r="G255" s="453"/>
      <c r="H255" s="453"/>
      <c r="I255" s="453"/>
      <c r="J255" s="454"/>
    </row>
    <row r="256" spans="1:12" ht="12.75">
      <c r="A256" s="434" t="s">
        <v>63</v>
      </c>
      <c r="B256" s="214"/>
      <c r="C256" s="214"/>
      <c r="D256" s="214"/>
      <c r="E256" s="644">
        <f>1/(1+$F$60)^E244</f>
        <v>0.9396767818506704</v>
      </c>
      <c r="F256" s="644">
        <f>1/(1+$F$60)^F244</f>
        <v>0.8829924543492322</v>
      </c>
      <c r="G256" s="644">
        <f>1/(1+$F$60)^G244</f>
        <v>0.8297275079013116</v>
      </c>
      <c r="H256" s="644">
        <f>1/(1+$F$60)^H244</f>
        <v>0.7796756744376809</v>
      </c>
      <c r="I256" s="644">
        <f>1/(1+$F$60)^I244</f>
        <v>0.732643128642851</v>
      </c>
      <c r="J256" s="456"/>
      <c r="L256" s="17" t="s">
        <v>555</v>
      </c>
    </row>
    <row r="257" spans="1:10" ht="12.75">
      <c r="A257" s="434" t="s">
        <v>674</v>
      </c>
      <c r="B257" s="214"/>
      <c r="C257" s="214"/>
      <c r="D257" s="214"/>
      <c r="E257" s="645">
        <f>E254*E256</f>
        <v>6065.314881052799</v>
      </c>
      <c r="F257" s="645">
        <f>F254*F256</f>
        <v>4812.817092797139</v>
      </c>
      <c r="G257" s="645">
        <f>G254*G256</f>
        <v>4759.685842441849</v>
      </c>
      <c r="H257" s="645">
        <f>H254*H256</f>
        <v>4256.131975417995</v>
      </c>
      <c r="I257" s="645">
        <f>I254*I256</f>
        <v>5076.566881792805</v>
      </c>
      <c r="J257" s="450"/>
    </row>
    <row r="258" spans="1:12" ht="12.75">
      <c r="A258" s="434" t="s">
        <v>675</v>
      </c>
      <c r="B258" s="214"/>
      <c r="C258" s="214"/>
      <c r="D258" s="214"/>
      <c r="E258" s="449">
        <f>SUM(E257:I257)</f>
        <v>24970.51667350259</v>
      </c>
      <c r="F258" s="449"/>
      <c r="G258" s="449"/>
      <c r="H258" s="449"/>
      <c r="I258" s="449"/>
      <c r="J258" s="457"/>
      <c r="L258" s="17" t="s">
        <v>515</v>
      </c>
    </row>
    <row r="259" spans="1:12" ht="12.75">
      <c r="A259" s="398" t="s">
        <v>673</v>
      </c>
      <c r="B259" s="70"/>
      <c r="C259" s="70"/>
      <c r="D259" s="70"/>
      <c r="E259" s="650">
        <f>J254/($F$60-$F$30)*$I$256</f>
        <v>138874.4567407736</v>
      </c>
      <c r="F259" s="449"/>
      <c r="G259" s="458"/>
      <c r="H259" s="458"/>
      <c r="I259" s="458"/>
      <c r="J259" s="457"/>
      <c r="L259" s="17" t="s">
        <v>524</v>
      </c>
    </row>
    <row r="260" spans="1:12" ht="12.75">
      <c r="A260" s="434" t="s">
        <v>816</v>
      </c>
      <c r="B260" s="70"/>
      <c r="C260" s="70"/>
      <c r="D260" s="70"/>
      <c r="E260" s="458">
        <f>E258+E259</f>
        <v>163844.9734142762</v>
      </c>
      <c r="F260" s="449"/>
      <c r="G260" s="458"/>
      <c r="H260" s="458"/>
      <c r="I260" s="458"/>
      <c r="J260" s="457"/>
      <c r="L260" s="17" t="s">
        <v>516</v>
      </c>
    </row>
    <row r="261" spans="1:12" ht="12.75">
      <c r="A261" s="398" t="s">
        <v>517</v>
      </c>
      <c r="B261" s="70"/>
      <c r="C261" s="70"/>
      <c r="D261" s="70"/>
      <c r="E261" s="458">
        <f>-$F$40</f>
        <v>-30500</v>
      </c>
      <c r="F261" s="453"/>
      <c r="G261" s="458"/>
      <c r="H261" s="458"/>
      <c r="I261" s="458"/>
      <c r="J261" s="457"/>
      <c r="L261" s="17" t="s">
        <v>520</v>
      </c>
    </row>
    <row r="262" spans="1:12" ht="12.75">
      <c r="A262" s="398" t="s">
        <v>518</v>
      </c>
      <c r="B262" s="70"/>
      <c r="C262" s="70"/>
      <c r="D262" s="70"/>
      <c r="E262" s="458">
        <f>-Forecasts!E258</f>
        <v>-63</v>
      </c>
      <c r="F262" s="453"/>
      <c r="G262" s="453"/>
      <c r="H262" s="458"/>
      <c r="I262" s="458"/>
      <c r="J262" s="457"/>
      <c r="L262" s="17" t="s">
        <v>521</v>
      </c>
    </row>
    <row r="263" spans="1:10" ht="12.75">
      <c r="A263" s="398" t="s">
        <v>791</v>
      </c>
      <c r="B263" s="70"/>
      <c r="C263" s="70"/>
      <c r="D263" s="70"/>
      <c r="E263" s="458">
        <f>-Forecasts!D240</f>
        <v>-105</v>
      </c>
      <c r="F263" s="453"/>
      <c r="G263" s="453"/>
      <c r="H263" s="458"/>
      <c r="I263" s="458"/>
      <c r="J263" s="457"/>
    </row>
    <row r="264" spans="1:12" ht="12.75">
      <c r="A264" s="398" t="s">
        <v>519</v>
      </c>
      <c r="B264" s="70"/>
      <c r="C264" s="70"/>
      <c r="D264" s="70"/>
      <c r="E264" s="650">
        <v>0</v>
      </c>
      <c r="F264" s="453"/>
      <c r="G264" s="453"/>
      <c r="H264" s="458"/>
      <c r="I264" s="458"/>
      <c r="J264" s="457"/>
      <c r="L264" s="17" t="s">
        <v>522</v>
      </c>
    </row>
    <row r="265" spans="1:10" ht="12.75">
      <c r="A265" s="434" t="s">
        <v>807</v>
      </c>
      <c r="B265" s="214"/>
      <c r="C265" s="214"/>
      <c r="D265" s="214"/>
      <c r="E265" s="449">
        <f>E260+E261+E262+E263+E264</f>
        <v>133176.9734142762</v>
      </c>
      <c r="F265" s="453"/>
      <c r="G265" s="453"/>
      <c r="H265" s="505"/>
      <c r="I265" s="505"/>
      <c r="J265" s="506"/>
    </row>
    <row r="266" spans="1:12" ht="12.75">
      <c r="A266" s="434" t="s">
        <v>64</v>
      </c>
      <c r="B266" s="214"/>
      <c r="C266" s="214"/>
      <c r="D266" s="214"/>
      <c r="E266" s="651">
        <f>(1+$F$60/2)</f>
        <v>1.0320978549829254</v>
      </c>
      <c r="F266" s="458"/>
      <c r="G266" s="453"/>
      <c r="H266" s="460"/>
      <c r="I266" s="460"/>
      <c r="J266" s="488"/>
      <c r="L266" s="17" t="s">
        <v>204</v>
      </c>
    </row>
    <row r="267" spans="1:10" ht="12.75">
      <c r="A267" s="434" t="s">
        <v>815</v>
      </c>
      <c r="B267" s="214"/>
      <c r="C267" s="214"/>
      <c r="D267" s="214"/>
      <c r="E267" s="449">
        <f>E265*E266</f>
        <v>137451.66859399254</v>
      </c>
      <c r="F267" s="458"/>
      <c r="G267" s="453"/>
      <c r="H267" s="460"/>
      <c r="I267" s="453"/>
      <c r="J267" s="454"/>
    </row>
    <row r="268" spans="1:10" ht="12.75">
      <c r="A268" s="434" t="s">
        <v>65</v>
      </c>
      <c r="B268" s="214"/>
      <c r="C268" s="214"/>
      <c r="D268" s="214"/>
      <c r="E268" s="648">
        <f>$F$25</f>
        <v>1544</v>
      </c>
      <c r="F268" s="458"/>
      <c r="G268" s="453"/>
      <c r="H268" s="460"/>
      <c r="I268" s="453"/>
      <c r="J268" s="454"/>
    </row>
    <row r="269" spans="1:12" ht="13.5" thickBot="1">
      <c r="A269" s="434" t="s">
        <v>809</v>
      </c>
      <c r="B269" s="214"/>
      <c r="C269" s="214"/>
      <c r="D269" s="214"/>
      <c r="E269" s="652">
        <f>E267/E268</f>
        <v>89.02310142097963</v>
      </c>
      <c r="F269" s="458"/>
      <c r="G269" s="453"/>
      <c r="H269" s="460"/>
      <c r="I269" s="453"/>
      <c r="J269" s="454"/>
      <c r="L269" s="17" t="s">
        <v>213</v>
      </c>
    </row>
    <row r="270" spans="1:10" ht="13.5" thickTop="1">
      <c r="A270" s="398"/>
      <c r="B270" s="70"/>
      <c r="C270" s="70"/>
      <c r="D270" s="70"/>
      <c r="E270" s="70"/>
      <c r="F270" s="453"/>
      <c r="G270" s="453"/>
      <c r="H270" s="460"/>
      <c r="I270" s="453"/>
      <c r="J270" s="454"/>
    </row>
    <row r="271" spans="1:10" ht="12.75">
      <c r="A271" s="398" t="s">
        <v>50</v>
      </c>
      <c r="B271" s="70"/>
      <c r="C271" s="70"/>
      <c r="D271" s="70"/>
      <c r="E271" s="446">
        <f>$F$24</f>
        <v>68.43</v>
      </c>
      <c r="F271" s="453"/>
      <c r="G271" s="453"/>
      <c r="H271" s="460"/>
      <c r="I271" s="453"/>
      <c r="J271" s="454"/>
    </row>
    <row r="272" spans="1:12" ht="12.75">
      <c r="A272" s="398" t="s">
        <v>66</v>
      </c>
      <c r="B272" s="70"/>
      <c r="C272" s="70"/>
      <c r="D272" s="70"/>
      <c r="E272" s="514">
        <f>E269/E271-1</f>
        <v>0.300936744424662</v>
      </c>
      <c r="F272" s="70"/>
      <c r="G272" s="460"/>
      <c r="H272" s="460"/>
      <c r="I272" s="460"/>
      <c r="J272" s="488"/>
      <c r="L272" s="17" t="s">
        <v>67</v>
      </c>
    </row>
    <row r="273" spans="1:10" ht="13.5" thickBot="1">
      <c r="A273" s="416"/>
      <c r="B273" s="417"/>
      <c r="C273" s="417"/>
      <c r="D273" s="417"/>
      <c r="E273" s="417"/>
      <c r="F273" s="417"/>
      <c r="G273" s="417"/>
      <c r="H273" s="447"/>
      <c r="I273" s="447"/>
      <c r="J273" s="448"/>
    </row>
    <row r="274" spans="1:10" ht="13.5" thickTop="1">
      <c r="A274" s="402"/>
      <c r="B274" s="402"/>
      <c r="C274" s="402"/>
      <c r="D274" s="402"/>
      <c r="E274" s="402"/>
      <c r="F274" s="402"/>
      <c r="G274" s="402"/>
      <c r="H274" s="487"/>
      <c r="I274" s="487"/>
      <c r="J274" s="487"/>
    </row>
    <row r="289" spans="4:6" ht="12.75">
      <c r="D289" s="566"/>
      <c r="F289" s="566"/>
    </row>
    <row r="290" spans="4:6" ht="12.75">
      <c r="D290" s="566"/>
      <c r="F290" s="566"/>
    </row>
    <row r="291" spans="4:6" ht="12.75">
      <c r="D291" s="566"/>
      <c r="F291" s="566"/>
    </row>
    <row r="292" ht="12.75">
      <c r="G292" s="566"/>
    </row>
  </sheetData>
  <sheetProtection/>
  <printOptions/>
  <pageMargins left="0.75" right="0.75" top="1" bottom="1" header="0.5" footer="0.5"/>
  <pageSetup horizontalDpi="300" verticalDpi="300" orientation="portrait" scale="75" r:id="rId1"/>
  <rowBreaks count="7" manualBreakCount="7">
    <brk id="62" max="255" man="1"/>
    <brk id="89" max="255" man="1"/>
    <brk id="119" max="9" man="1"/>
    <brk id="145" max="9" man="1"/>
    <brk id="176" max="255" man="1"/>
    <brk id="202" max="9" man="1"/>
    <brk id="238" max="9" man="1"/>
  </rowBreaks>
  <colBreaks count="2" manualBreakCount="2">
    <brk id="10" max="231" man="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Kelley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GX270</dc:creator>
  <cp:keywords/>
  <dc:description/>
  <cp:lastModifiedBy>jim wahlen</cp:lastModifiedBy>
  <cp:lastPrinted>2010-05-11T15:49:29Z</cp:lastPrinted>
  <dcterms:created xsi:type="dcterms:W3CDTF">2005-05-04T22:13:45Z</dcterms:created>
  <dcterms:modified xsi:type="dcterms:W3CDTF">2014-05-14T12:28:01Z</dcterms:modified>
  <cp:category/>
  <cp:version/>
  <cp:contentType/>
  <cp:contentStatus/>
</cp:coreProperties>
</file>