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D Documents\Work\Opetus ja kurssit\Combustion technology 2018\"/>
    </mc:Choice>
  </mc:AlternateContent>
  <bookViews>
    <workbookView xWindow="0" yWindow="0" windowWidth="19200" windowHeight="6900"/>
  </bookViews>
  <sheets>
    <sheet name="Day 1 and 2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6" i="2" l="1"/>
  <c r="D6" i="2" l="1"/>
  <c r="H6" i="2"/>
  <c r="N28" i="2" l="1"/>
  <c r="M8" i="2"/>
  <c r="H11" i="2"/>
  <c r="H12" i="2"/>
  <c r="H10" i="2"/>
  <c r="H9" i="2"/>
  <c r="H8" i="2"/>
  <c r="K29" i="2"/>
  <c r="J29" i="2"/>
  <c r="I29" i="2"/>
  <c r="D26" i="2"/>
  <c r="J26" i="2"/>
  <c r="K26" i="2"/>
  <c r="N27" i="2"/>
  <c r="N25" i="2"/>
  <c r="M5" i="2"/>
  <c r="G29" i="2"/>
  <c r="G28" i="2"/>
  <c r="G27" i="2"/>
  <c r="G26" i="2"/>
  <c r="D29" i="2"/>
  <c r="C29" i="2"/>
  <c r="C28" i="2"/>
  <c r="C27" i="2"/>
  <c r="C26" i="2"/>
  <c r="B27" i="2"/>
  <c r="H7" i="2"/>
  <c r="D16" i="2"/>
  <c r="H17" i="2" l="1"/>
  <c r="H16" i="2"/>
  <c r="H15" i="2"/>
  <c r="H14" i="2"/>
  <c r="H13" i="2"/>
  <c r="M16" i="2" l="1"/>
  <c r="M12" i="2"/>
  <c r="P34" i="2"/>
  <c r="D22" i="2"/>
  <c r="H26" i="2" l="1"/>
  <c r="H28" i="2"/>
  <c r="H29" i="2"/>
  <c r="J25" i="2"/>
  <c r="I25" i="2"/>
  <c r="H25" i="2"/>
  <c r="G25" i="2"/>
  <c r="I27" i="2"/>
  <c r="I16" i="2"/>
  <c r="I15" i="2"/>
  <c r="I14" i="2"/>
  <c r="I13" i="2"/>
  <c r="I12" i="2"/>
  <c r="I11" i="2"/>
  <c r="I10" i="2"/>
  <c r="I9" i="2"/>
  <c r="I8" i="2"/>
  <c r="I7" i="2"/>
  <c r="I6" i="2"/>
  <c r="H27" i="2"/>
  <c r="B13" i="2"/>
  <c r="D7" i="2"/>
  <c r="D8" i="2"/>
  <c r="D9" i="2"/>
  <c r="D10" i="2"/>
  <c r="D11" i="2"/>
  <c r="D12" i="2"/>
  <c r="J8" i="2" l="1"/>
  <c r="J11" i="2"/>
  <c r="J7" i="2"/>
  <c r="J6" i="2"/>
  <c r="J10" i="2"/>
  <c r="D13" i="2"/>
  <c r="D27" i="2"/>
  <c r="J27" i="2" s="1"/>
  <c r="J9" i="2"/>
  <c r="J15" i="2"/>
  <c r="K27" i="2"/>
  <c r="J12" i="2" l="1"/>
  <c r="E27" i="2"/>
  <c r="J13" i="2"/>
  <c r="J14" i="2" l="1"/>
  <c r="J16" i="2"/>
  <c r="J19" i="2"/>
  <c r="J20" i="2" l="1"/>
  <c r="N33" i="2"/>
  <c r="P25" i="2"/>
  <c r="J17" i="2"/>
  <c r="D28" i="2"/>
  <c r="J28" i="2" s="1"/>
  <c r="I28" i="2"/>
  <c r="P33" i="2" l="1"/>
  <c r="I26" i="2"/>
  <c r="E28" i="2"/>
  <c r="K28" i="2"/>
  <c r="M13" i="2" l="1"/>
  <c r="E29" i="2"/>
  <c r="E26" i="2"/>
  <c r="M9" i="2" l="1"/>
  <c r="P28" i="2"/>
  <c r="N36" i="2"/>
  <c r="N35" i="2"/>
  <c r="P27" i="2"/>
  <c r="M14" i="2"/>
  <c r="N26" i="2" l="1"/>
  <c r="P35" i="2"/>
  <c r="N37" i="2"/>
  <c r="P36" i="2"/>
  <c r="P26" i="2" l="1"/>
  <c r="P29" i="2" s="1"/>
  <c r="Q26" i="2" s="1"/>
  <c r="N29" i="2"/>
  <c r="O29" i="2" s="1"/>
  <c r="O37" i="2"/>
  <c r="O34" i="2"/>
  <c r="O33" i="2"/>
  <c r="P37" i="2"/>
  <c r="O36" i="2"/>
  <c r="O35" i="2"/>
  <c r="Q28" i="2"/>
  <c r="Q29" i="2"/>
  <c r="Q25" i="2"/>
  <c r="Q27" i="2"/>
  <c r="M15" i="2" l="1"/>
  <c r="M17" i="2" s="1"/>
  <c r="O28" i="2"/>
  <c r="O27" i="2"/>
  <c r="O26" i="2"/>
  <c r="O25" i="2"/>
  <c r="Q34" i="2"/>
  <c r="Q37" i="2"/>
  <c r="Q33" i="2"/>
  <c r="Q35" i="2"/>
  <c r="Q36" i="2"/>
</calcChain>
</file>

<file path=xl/sharedStrings.xml><?xml version="1.0" encoding="utf-8"?>
<sst xmlns="http://schemas.openxmlformats.org/spreadsheetml/2006/main" count="114" uniqueCount="68">
  <si>
    <t>C</t>
  </si>
  <si>
    <t>H</t>
  </si>
  <si>
    <t>O</t>
  </si>
  <si>
    <t>Na</t>
  </si>
  <si>
    <t>K</t>
  </si>
  <si>
    <t>S</t>
  </si>
  <si>
    <t>Cl</t>
  </si>
  <si>
    <t>Sum</t>
  </si>
  <si>
    <t>m, g</t>
  </si>
  <si>
    <t>M, g/mol</t>
  </si>
  <si>
    <t>N, mol</t>
  </si>
  <si>
    <t>Reduction degree</t>
  </si>
  <si>
    <t>a</t>
  </si>
  <si>
    <t>Species composition</t>
  </si>
  <si>
    <t>NaCl</t>
  </si>
  <si>
    <t>KCl</t>
  </si>
  <si>
    <t>Na2S</t>
  </si>
  <si>
    <t>K2S</t>
  </si>
  <si>
    <t>Na2SO4</t>
  </si>
  <si>
    <t>K2SO4</t>
  </si>
  <si>
    <t>Na2CO3</t>
  </si>
  <si>
    <t>K2CO3</t>
  </si>
  <si>
    <t>CO2</t>
  </si>
  <si>
    <t>H2O</t>
  </si>
  <si>
    <t>O2</t>
  </si>
  <si>
    <t>N2</t>
  </si>
  <si>
    <t>air</t>
  </si>
  <si>
    <t>Na/K ratio</t>
  </si>
  <si>
    <t>Dry solids content</t>
  </si>
  <si>
    <t>g</t>
  </si>
  <si>
    <t>ys</t>
  </si>
  <si>
    <t>-</t>
  </si>
  <si>
    <t>Air factor</t>
  </si>
  <si>
    <t>lambda</t>
  </si>
  <si>
    <t>xi</t>
  </si>
  <si>
    <t>yi</t>
  </si>
  <si>
    <t xml:space="preserve">Water input </t>
  </si>
  <si>
    <t>Drying</t>
  </si>
  <si>
    <t>Soot blowing</t>
  </si>
  <si>
    <t>Liquor heating</t>
  </si>
  <si>
    <t>Air humidity</t>
  </si>
  <si>
    <t>Relative humidity</t>
  </si>
  <si>
    <t>fi</t>
  </si>
  <si>
    <t>Air temp</t>
  </si>
  <si>
    <t>temp</t>
  </si>
  <si>
    <t>g/g dry air</t>
  </si>
  <si>
    <t>Vapor pressure</t>
  </si>
  <si>
    <t>psat</t>
  </si>
  <si>
    <t>Pa</t>
  </si>
  <si>
    <t>eta</t>
  </si>
  <si>
    <t>Species</t>
  </si>
  <si>
    <t>mw/mair</t>
  </si>
  <si>
    <t>Mika Järvinen 24.2.2018</t>
  </si>
  <si>
    <t>Combustion technology, Kraft Recovery Boilers, Adams at al. 1997, pp. 16-21.</t>
  </si>
  <si>
    <t>Mass based composition, 100 g dry matter</t>
  </si>
  <si>
    <t>Mass of inorganics, g</t>
  </si>
  <si>
    <t>Mas of organics, g</t>
  </si>
  <si>
    <t>Total air input</t>
  </si>
  <si>
    <t>Stoichiometroc flue gases and need for O2/air in moles</t>
  </si>
  <si>
    <t>Stoichiometric flue gases and need for O2/air in g</t>
  </si>
  <si>
    <t>Wet flue gases including water from drying and other sources</t>
  </si>
  <si>
    <t xml:space="preserve">Dry flue gases </t>
  </si>
  <si>
    <t>Total flue gas</t>
  </si>
  <si>
    <t>Liquor input</t>
  </si>
  <si>
    <t>Smelt out</t>
  </si>
  <si>
    <t>Balance</t>
  </si>
  <si>
    <t>Steam input</t>
  </si>
  <si>
    <t>SUMMARY per 100 g of dry matter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</si>
</sst>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"/>
    <numFmt numFmtId="165" formatCode="0.0"/>
    <numFmt numFmtId="166" formatCode="0.0000"/>
  </numFmts>
  <fonts count="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164" fontId="0" fillId="0" borderId="0" xfId="0" applyNumberFormat="1"/>
    <xf numFmtId="0" fontId="0" fillId="0" borderId="1" xfId="0" applyBorder="1"/>
    <xf numFmtId="164" fontId="0" fillId="0" borderId="1" xfId="0" applyNumberFormat="1" applyBorder="1"/>
    <xf numFmtId="165" fontId="0" fillId="0" borderId="1" xfId="0" applyNumberFormat="1" applyBorder="1"/>
    <xf numFmtId="165" fontId="1" fillId="0" borderId="1" xfId="0" applyNumberFormat="1" applyFont="1" applyBorder="1"/>
    <xf numFmtId="0" fontId="1" fillId="0" borderId="1" xfId="0" applyFont="1" applyBorder="1"/>
    <xf numFmtId="2" fontId="0" fillId="0" borderId="1" xfId="0" applyNumberFormat="1" applyBorder="1"/>
    <xf numFmtId="0" fontId="0" fillId="0" borderId="0" xfId="0" applyBorder="1"/>
    <xf numFmtId="0" fontId="0" fillId="0" borderId="1" xfId="0" applyFill="1" applyBorder="1"/>
    <xf numFmtId="0" fontId="0" fillId="2" borderId="1" xfId="0" applyFill="1" applyBorder="1"/>
    <xf numFmtId="164" fontId="0" fillId="2" borderId="1" xfId="0" applyNumberFormat="1" applyFill="1" applyBorder="1"/>
    <xf numFmtId="165" fontId="0" fillId="2" borderId="1" xfId="0" applyNumberFormat="1" applyFill="1" applyBorder="1"/>
    <xf numFmtId="0" fontId="0" fillId="3" borderId="1" xfId="0" applyFill="1" applyBorder="1"/>
    <xf numFmtId="164" fontId="0" fillId="3" borderId="1" xfId="0" applyNumberFormat="1" applyFill="1" applyBorder="1"/>
    <xf numFmtId="165" fontId="0" fillId="3" borderId="1" xfId="0" applyNumberFormat="1" applyFill="1" applyBorder="1"/>
    <xf numFmtId="0" fontId="0" fillId="3" borderId="0" xfId="0" applyFill="1"/>
    <xf numFmtId="165" fontId="0" fillId="3" borderId="0" xfId="0" applyNumberFormat="1" applyFill="1"/>
    <xf numFmtId="0" fontId="0" fillId="2" borderId="0" xfId="0" applyFill="1"/>
    <xf numFmtId="165" fontId="0" fillId="2" borderId="0" xfId="0" applyNumberFormat="1" applyFill="1"/>
    <xf numFmtId="1" fontId="0" fillId="0" borderId="1" xfId="0" applyNumberFormat="1" applyBorder="1"/>
    <xf numFmtId="166" fontId="0" fillId="3" borderId="1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748748</xdr:colOff>
      <xdr:row>7</xdr:row>
      <xdr:rowOff>70519</xdr:rowOff>
    </xdr:from>
    <xdr:to>
      <xdr:col>35</xdr:col>
      <xdr:colOff>293332</xdr:colOff>
      <xdr:row>31</xdr:row>
      <xdr:rowOff>152400</xdr:rowOff>
    </xdr:to>
    <xdr:sp macro="" textlink="">
      <xdr:nvSpPr>
        <xdr:cNvPr id="2" name="TextBox 1"/>
        <xdr:cNvSpPr txBox="1"/>
      </xdr:nvSpPr>
      <xdr:spPr>
        <a:xfrm>
          <a:off x="14855687" y="1369232"/>
          <a:ext cx="14214741" cy="4534611"/>
        </a:xfrm>
        <a:prstGeom prst="rect">
          <a:avLst/>
        </a:prstGeom>
        <a:solidFill>
          <a:schemeClr val="tx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i-FI" sz="4400" baseline="0">
              <a:solidFill>
                <a:schemeClr val="accent4"/>
              </a:solidFill>
            </a:rPr>
            <a:t>No peeking :)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"/>
  <sheetViews>
    <sheetView tabSelected="1" zoomScale="115" zoomScaleNormal="115" workbookViewId="0">
      <selection activeCell="E2" sqref="E2"/>
    </sheetView>
  </sheetViews>
  <sheetFormatPr defaultColWidth="11.88671875" defaultRowHeight="14.4" x14ac:dyDescent="0.3"/>
  <cols>
    <col min="1" max="1" width="13.44140625" customWidth="1"/>
    <col min="12" max="12" width="13.88671875" customWidth="1"/>
    <col min="13" max="13" width="12" customWidth="1"/>
  </cols>
  <sheetData>
    <row r="1" spans="1:14" x14ac:dyDescent="0.3">
      <c r="A1" t="s">
        <v>52</v>
      </c>
    </row>
    <row r="2" spans="1:14" x14ac:dyDescent="0.3">
      <c r="A2" t="s">
        <v>53</v>
      </c>
    </row>
    <row r="4" spans="1:14" x14ac:dyDescent="0.3">
      <c r="A4" t="s">
        <v>54</v>
      </c>
      <c r="G4" t="s">
        <v>13</v>
      </c>
      <c r="L4" t="s">
        <v>36</v>
      </c>
    </row>
    <row r="5" spans="1:14" x14ac:dyDescent="0.3">
      <c r="A5" s="2"/>
      <c r="B5" s="2" t="s">
        <v>8</v>
      </c>
      <c r="C5" s="2" t="s">
        <v>9</v>
      </c>
      <c r="D5" s="2" t="s">
        <v>10</v>
      </c>
      <c r="G5" s="2"/>
      <c r="H5" s="2" t="s">
        <v>10</v>
      </c>
      <c r="I5" s="2" t="s">
        <v>9</v>
      </c>
      <c r="J5" s="2" t="s">
        <v>8</v>
      </c>
      <c r="L5" s="2" t="s">
        <v>37</v>
      </c>
      <c r="M5" s="4">
        <f>B13*(1-D17)/D17</f>
        <v>11.111111111111109</v>
      </c>
      <c r="N5" s="2" t="s">
        <v>29</v>
      </c>
    </row>
    <row r="6" spans="1:14" x14ac:dyDescent="0.3">
      <c r="A6" s="2" t="s">
        <v>0</v>
      </c>
      <c r="B6" s="2">
        <v>35</v>
      </c>
      <c r="C6" s="2">
        <v>12</v>
      </c>
      <c r="D6" s="3">
        <f>B6/C6</f>
        <v>2.9166666666666665</v>
      </c>
      <c r="G6" s="13" t="s">
        <v>14</v>
      </c>
      <c r="H6" s="14">
        <f>D12*D16</f>
        <v>1.8817013370747402E-2</v>
      </c>
      <c r="I6" s="13">
        <f>C9+C12</f>
        <v>58.5</v>
      </c>
      <c r="J6" s="15">
        <f>H6*I6</f>
        <v>1.100795282188723</v>
      </c>
      <c r="L6" s="2" t="s">
        <v>38</v>
      </c>
      <c r="M6" s="2">
        <v>18</v>
      </c>
      <c r="N6" s="2" t="s">
        <v>29</v>
      </c>
    </row>
    <row r="7" spans="1:14" x14ac:dyDescent="0.3">
      <c r="A7" s="2" t="s">
        <v>1</v>
      </c>
      <c r="B7" s="2">
        <v>3.3</v>
      </c>
      <c r="C7" s="2">
        <v>1</v>
      </c>
      <c r="D7" s="3">
        <f t="shared" ref="D7:D12" si="0">B7/C7</f>
        <v>3.3</v>
      </c>
      <c r="G7" s="13" t="s">
        <v>15</v>
      </c>
      <c r="H7" s="14">
        <f>D12*(1-D16)</f>
        <v>9.0129648840752709E-4</v>
      </c>
      <c r="I7" s="13">
        <f>C10+C12</f>
        <v>74.5</v>
      </c>
      <c r="J7" s="15">
        <f t="shared" ref="J7:J16" si="1">H7*I7</f>
        <v>6.714658838636077E-2</v>
      </c>
      <c r="L7" s="2" t="s">
        <v>39</v>
      </c>
      <c r="M7" s="2">
        <v>2.4</v>
      </c>
      <c r="N7" s="2" t="s">
        <v>29</v>
      </c>
    </row>
    <row r="8" spans="1:14" x14ac:dyDescent="0.3">
      <c r="A8" s="2" t="s">
        <v>2</v>
      </c>
      <c r="B8" s="2">
        <v>35.700000000000003</v>
      </c>
      <c r="C8" s="2">
        <v>16</v>
      </c>
      <c r="D8" s="3">
        <f t="shared" si="0"/>
        <v>2.2312500000000002</v>
      </c>
      <c r="G8" s="13" t="s">
        <v>16</v>
      </c>
      <c r="H8" s="14">
        <f>D11*D15*D16</f>
        <v>0.11332210284436717</v>
      </c>
      <c r="I8" s="13">
        <f>2*C9+C11</f>
        <v>78</v>
      </c>
      <c r="J8" s="15">
        <f t="shared" si="1"/>
        <v>8.8391240218606395</v>
      </c>
      <c r="L8" s="2" t="s">
        <v>40</v>
      </c>
      <c r="M8" s="4">
        <f>D18*K29*D22</f>
        <v>6.1209732976846993</v>
      </c>
      <c r="N8" s="2" t="s">
        <v>29</v>
      </c>
    </row>
    <row r="9" spans="1:14" x14ac:dyDescent="0.3">
      <c r="A9" s="2" t="s">
        <v>3</v>
      </c>
      <c r="B9" s="2">
        <v>19.7</v>
      </c>
      <c r="C9" s="2">
        <v>23</v>
      </c>
      <c r="D9" s="3">
        <f t="shared" si="0"/>
        <v>0.85652173913043472</v>
      </c>
      <c r="G9" s="13" t="s">
        <v>17</v>
      </c>
      <c r="H9" s="14">
        <f>D11*D15*(1-D16)</f>
        <v>5.4278971556328314E-3</v>
      </c>
      <c r="I9" s="13">
        <f>2*C10+C11</f>
        <v>110</v>
      </c>
      <c r="J9" s="15">
        <f t="shared" si="1"/>
        <v>0.59706868711961147</v>
      </c>
      <c r="L9" s="2" t="s">
        <v>7</v>
      </c>
      <c r="M9" s="4">
        <f>SUM(M5:M8)</f>
        <v>37.632084408795805</v>
      </c>
      <c r="N9" s="2" t="s">
        <v>29</v>
      </c>
    </row>
    <row r="10" spans="1:14" x14ac:dyDescent="0.3">
      <c r="A10" s="2" t="s">
        <v>4</v>
      </c>
      <c r="B10" s="2">
        <v>1.6</v>
      </c>
      <c r="C10" s="2">
        <v>39</v>
      </c>
      <c r="D10" s="3">
        <f t="shared" si="0"/>
        <v>4.1025641025641026E-2</v>
      </c>
      <c r="G10" s="13" t="s">
        <v>18</v>
      </c>
      <c r="H10" s="14">
        <f>D11*(1-D15)*D16</f>
        <v>5.9643212023351199E-3</v>
      </c>
      <c r="I10" s="13">
        <f>2*C9+C11+4*C8</f>
        <v>142</v>
      </c>
      <c r="J10" s="15">
        <f t="shared" si="1"/>
        <v>0.84693361073158702</v>
      </c>
    </row>
    <row r="11" spans="1:14" x14ac:dyDescent="0.3">
      <c r="A11" s="2" t="s">
        <v>5</v>
      </c>
      <c r="B11" s="2">
        <v>4</v>
      </c>
      <c r="C11" s="2">
        <v>32</v>
      </c>
      <c r="D11" s="3">
        <f t="shared" si="0"/>
        <v>0.125</v>
      </c>
      <c r="G11" s="13" t="s">
        <v>19</v>
      </c>
      <c r="H11" s="21">
        <f>D11*(1-D15)*(1-D16)</f>
        <v>2.8567879766488611E-4</v>
      </c>
      <c r="I11" s="13">
        <f>2*C10+C11+4*C8</f>
        <v>174</v>
      </c>
      <c r="J11" s="15">
        <f t="shared" si="1"/>
        <v>4.9708110793690183E-2</v>
      </c>
      <c r="L11" t="s">
        <v>67</v>
      </c>
    </row>
    <row r="12" spans="1:14" x14ac:dyDescent="0.3">
      <c r="A12" s="2" t="s">
        <v>6</v>
      </c>
      <c r="B12" s="2">
        <v>0.7</v>
      </c>
      <c r="C12" s="2">
        <v>35.5</v>
      </c>
      <c r="D12" s="3">
        <f t="shared" si="0"/>
        <v>1.9718309859154928E-2</v>
      </c>
      <c r="G12" s="13" t="s">
        <v>20</v>
      </c>
      <c r="H12" s="14">
        <f>(D9-H6-2*H8-2*H10)/2</f>
        <v>0.29956593883314137</v>
      </c>
      <c r="I12" s="13">
        <f>2*C9+C6+3*C8</f>
        <v>106</v>
      </c>
      <c r="J12" s="15">
        <f t="shared" si="1"/>
        <v>31.753989516312984</v>
      </c>
      <c r="L12" s="2" t="s">
        <v>63</v>
      </c>
      <c r="M12" s="20">
        <f>B13+M5</f>
        <v>111.11111111111111</v>
      </c>
      <c r="N12" s="2" t="s">
        <v>29</v>
      </c>
    </row>
    <row r="13" spans="1:14" x14ac:dyDescent="0.3">
      <c r="A13" s="2" t="s">
        <v>7</v>
      </c>
      <c r="B13" s="6">
        <f>SUM(B6:B12)</f>
        <v>100</v>
      </c>
      <c r="C13" s="2"/>
      <c r="D13" s="3">
        <f>SUM(D6:D12)</f>
        <v>9.4901823566818972</v>
      </c>
      <c r="G13" s="13" t="s">
        <v>21</v>
      </c>
      <c r="H13" s="14">
        <f>(D10-H7-2*H9-2*H11)/2</f>
        <v>1.4348596315319033E-2</v>
      </c>
      <c r="I13" s="13">
        <f>2*C10+C6+3*C8</f>
        <v>138</v>
      </c>
      <c r="J13" s="15">
        <f t="shared" si="1"/>
        <v>1.9801062915140266</v>
      </c>
      <c r="L13" s="2" t="s">
        <v>66</v>
      </c>
      <c r="M13" s="20">
        <f>SUM(M6:M8)</f>
        <v>26.520973297684698</v>
      </c>
      <c r="N13" s="2" t="s">
        <v>29</v>
      </c>
    </row>
    <row r="14" spans="1:14" x14ac:dyDescent="0.3">
      <c r="G14" s="10" t="s">
        <v>0</v>
      </c>
      <c r="H14" s="11">
        <f>D6-H12-H13</f>
        <v>2.6027521315182063</v>
      </c>
      <c r="I14" s="10">
        <f>C6</f>
        <v>12</v>
      </c>
      <c r="J14" s="12">
        <f t="shared" si="1"/>
        <v>31.233025578218474</v>
      </c>
      <c r="L14" s="2" t="s">
        <v>57</v>
      </c>
      <c r="M14" s="20">
        <f>(I29+J29)*D18</f>
        <v>435.69382823560335</v>
      </c>
      <c r="N14" s="2" t="s">
        <v>29</v>
      </c>
    </row>
    <row r="15" spans="1:14" x14ac:dyDescent="0.3">
      <c r="A15" t="s">
        <v>11</v>
      </c>
      <c r="C15" t="s">
        <v>49</v>
      </c>
      <c r="D15">
        <v>0.95</v>
      </c>
      <c r="E15" t="s">
        <v>31</v>
      </c>
      <c r="G15" s="10" t="s">
        <v>1</v>
      </c>
      <c r="H15" s="11">
        <f>D7</f>
        <v>3.3</v>
      </c>
      <c r="I15" s="10">
        <f>C7</f>
        <v>1</v>
      </c>
      <c r="J15" s="12">
        <f t="shared" si="1"/>
        <v>3.3</v>
      </c>
      <c r="L15" s="9" t="s">
        <v>62</v>
      </c>
      <c r="M15" s="20">
        <f>N29</f>
        <v>528.09104053549163</v>
      </c>
      <c r="N15" s="9" t="s">
        <v>29</v>
      </c>
    </row>
    <row r="16" spans="1:14" x14ac:dyDescent="0.3">
      <c r="A16" t="s">
        <v>27</v>
      </c>
      <c r="C16" t="s">
        <v>12</v>
      </c>
      <c r="D16" s="1">
        <f>D9/(D9+D10)</f>
        <v>0.95429139237361826</v>
      </c>
      <c r="E16" t="s">
        <v>31</v>
      </c>
      <c r="G16" s="10" t="s">
        <v>2</v>
      </c>
      <c r="H16" s="11">
        <f>D8-3*(H12+H13)-4*(H10+H11)</f>
        <v>1.2645063945546191</v>
      </c>
      <c r="I16" s="10">
        <f>C8</f>
        <v>16</v>
      </c>
      <c r="J16" s="12">
        <f t="shared" si="1"/>
        <v>20.232102312873906</v>
      </c>
      <c r="L16" s="9" t="s">
        <v>64</v>
      </c>
      <c r="M16" s="4">
        <f>J19</f>
        <v>45.234872108907624</v>
      </c>
      <c r="N16" s="9" t="s">
        <v>29</v>
      </c>
    </row>
    <row r="17" spans="1:17" x14ac:dyDescent="0.3">
      <c r="A17" t="s">
        <v>28</v>
      </c>
      <c r="C17" t="s">
        <v>30</v>
      </c>
      <c r="D17">
        <v>0.9</v>
      </c>
      <c r="E17" t="s">
        <v>31</v>
      </c>
      <c r="G17" s="2" t="s">
        <v>7</v>
      </c>
      <c r="H17" s="3">
        <f>SUM(H6:H16)</f>
        <v>7.6258913710804404</v>
      </c>
      <c r="I17" s="2"/>
      <c r="J17" s="5">
        <f>SUM(J6:J16)</f>
        <v>100</v>
      </c>
      <c r="L17" s="9" t="s">
        <v>65</v>
      </c>
      <c r="M17" s="4">
        <f>M12+M13+M14-M15-M16</f>
        <v>-7.1054273576010019E-14</v>
      </c>
      <c r="N17" s="2" t="s">
        <v>29</v>
      </c>
    </row>
    <row r="18" spans="1:17" x14ac:dyDescent="0.3">
      <c r="A18" t="s">
        <v>32</v>
      </c>
      <c r="C18" t="s">
        <v>33</v>
      </c>
      <c r="D18">
        <v>1.133</v>
      </c>
      <c r="E18" t="s">
        <v>31</v>
      </c>
    </row>
    <row r="19" spans="1:17" x14ac:dyDescent="0.3">
      <c r="A19" t="s">
        <v>41</v>
      </c>
      <c r="C19" t="s">
        <v>42</v>
      </c>
      <c r="D19">
        <v>0.7</v>
      </c>
      <c r="E19" t="s">
        <v>31</v>
      </c>
      <c r="G19" s="16" t="s">
        <v>55</v>
      </c>
      <c r="H19" s="16"/>
      <c r="I19" s="16"/>
      <c r="J19" s="17">
        <f>SUM(J6:J13)</f>
        <v>45.234872108907624</v>
      </c>
    </row>
    <row r="20" spans="1:17" x14ac:dyDescent="0.3">
      <c r="A20" t="s">
        <v>43</v>
      </c>
      <c r="C20" t="s">
        <v>44</v>
      </c>
      <c r="D20">
        <v>25</v>
      </c>
      <c r="E20" t="s">
        <v>0</v>
      </c>
      <c r="G20" s="18" t="s">
        <v>56</v>
      </c>
      <c r="H20" s="18"/>
      <c r="I20" s="18"/>
      <c r="J20" s="19">
        <f>SUM(J14:J16)</f>
        <v>54.765127891092376</v>
      </c>
    </row>
    <row r="21" spans="1:17" x14ac:dyDescent="0.3">
      <c r="A21" t="s">
        <v>46</v>
      </c>
      <c r="C21" t="s">
        <v>47</v>
      </c>
      <c r="D21">
        <v>3200</v>
      </c>
      <c r="E21" t="s">
        <v>48</v>
      </c>
    </row>
    <row r="22" spans="1:17" x14ac:dyDescent="0.3">
      <c r="A22" t="s">
        <v>40</v>
      </c>
      <c r="C22" t="s">
        <v>51</v>
      </c>
      <c r="D22" s="1">
        <f>D19*D21/(101325-D19*D21)*18/28.965</f>
        <v>1.4048795050580236E-2</v>
      </c>
      <c r="E22" t="s">
        <v>45</v>
      </c>
    </row>
    <row r="23" spans="1:17" x14ac:dyDescent="0.3">
      <c r="G23" t="s">
        <v>59</v>
      </c>
      <c r="M23" t="s">
        <v>60</v>
      </c>
    </row>
    <row r="24" spans="1:17" x14ac:dyDescent="0.3">
      <c r="A24" t="s">
        <v>58</v>
      </c>
      <c r="G24" s="2" t="s">
        <v>22</v>
      </c>
      <c r="H24" s="2" t="s">
        <v>23</v>
      </c>
      <c r="I24" s="2" t="s">
        <v>24</v>
      </c>
      <c r="J24" s="2" t="s">
        <v>25</v>
      </c>
      <c r="K24" s="2" t="s">
        <v>26</v>
      </c>
      <c r="M24" t="s">
        <v>50</v>
      </c>
      <c r="N24" t="s">
        <v>8</v>
      </c>
      <c r="O24" t="s">
        <v>35</v>
      </c>
      <c r="P24" t="s">
        <v>10</v>
      </c>
      <c r="Q24" t="s">
        <v>34</v>
      </c>
    </row>
    <row r="25" spans="1:17" x14ac:dyDescent="0.3">
      <c r="A25" s="2" t="s">
        <v>22</v>
      </c>
      <c r="B25" s="2" t="s">
        <v>23</v>
      </c>
      <c r="C25" s="2" t="s">
        <v>24</v>
      </c>
      <c r="D25" s="2" t="s">
        <v>25</v>
      </c>
      <c r="E25" s="2" t="s">
        <v>26</v>
      </c>
      <c r="G25" s="2">
        <f>C6+2*C8</f>
        <v>44</v>
      </c>
      <c r="H25" s="2">
        <f>2*C7+C8</f>
        <v>18</v>
      </c>
      <c r="I25" s="2">
        <f>2*C8</f>
        <v>32</v>
      </c>
      <c r="J25" s="2">
        <f>2*14</f>
        <v>28</v>
      </c>
      <c r="K25" s="2"/>
      <c r="M25" s="2" t="s">
        <v>22</v>
      </c>
      <c r="N25" s="7">
        <f>G26</f>
        <v>114.52109378680107</v>
      </c>
      <c r="O25" s="3">
        <f>N25/$N$29</f>
        <v>0.21685861905681092</v>
      </c>
      <c r="P25" s="7">
        <f>N25/G25</f>
        <v>2.6027521315182063</v>
      </c>
      <c r="Q25" s="3">
        <f>P25/$P$29</f>
        <v>0.13951326827311522</v>
      </c>
    </row>
    <row r="26" spans="1:17" x14ac:dyDescent="0.3">
      <c r="A26" s="7">
        <f>H14</f>
        <v>2.6027521315182063</v>
      </c>
      <c r="B26" s="7"/>
      <c r="C26" s="7">
        <f>H14</f>
        <v>2.6027521315182063</v>
      </c>
      <c r="D26" s="7">
        <f>C26*3.77</f>
        <v>9.8123755358236373</v>
      </c>
      <c r="E26" s="7">
        <f>C26+D26</f>
        <v>12.415127667341844</v>
      </c>
      <c r="G26" s="7">
        <f>A26*G$25</f>
        <v>114.52109378680107</v>
      </c>
      <c r="H26" s="7">
        <f t="shared" ref="H26:J29" si="2">B26*H$25</f>
        <v>0</v>
      </c>
      <c r="I26" s="7">
        <f t="shared" si="2"/>
        <v>83.288068208582601</v>
      </c>
      <c r="J26" s="7">
        <f>D26*J$25</f>
        <v>274.74651500306186</v>
      </c>
      <c r="K26" s="7">
        <f>I26+J26</f>
        <v>358.03458321164447</v>
      </c>
      <c r="M26" s="2" t="s">
        <v>23</v>
      </c>
      <c r="N26" s="7">
        <f>H27+M9</f>
        <v>67.332084408795808</v>
      </c>
      <c r="O26" s="3">
        <f>N26/$N$29</f>
        <v>0.12750090276199372</v>
      </c>
      <c r="P26" s="7">
        <f>N26/H25</f>
        <v>3.7406713560442117</v>
      </c>
      <c r="Q26" s="3">
        <f>P26/$P$29</f>
        <v>0.20050825435802869</v>
      </c>
    </row>
    <row r="27" spans="1:17" x14ac:dyDescent="0.3">
      <c r="A27" s="7"/>
      <c r="B27" s="7">
        <f>H15/2</f>
        <v>1.65</v>
      </c>
      <c r="C27" s="7">
        <f>H15/4</f>
        <v>0.82499999999999996</v>
      </c>
      <c r="D27" s="7">
        <f>C27*3.77</f>
        <v>3.1102499999999997</v>
      </c>
      <c r="E27" s="7">
        <f>C27+D27</f>
        <v>3.9352499999999999</v>
      </c>
      <c r="G27" s="7">
        <f>A27*G$25</f>
        <v>0</v>
      </c>
      <c r="H27" s="7">
        <f t="shared" si="2"/>
        <v>29.7</v>
      </c>
      <c r="I27" s="7">
        <f t="shared" si="2"/>
        <v>26.4</v>
      </c>
      <c r="J27" s="7">
        <f t="shared" si="2"/>
        <v>87.086999999999989</v>
      </c>
      <c r="K27" s="7">
        <f>I27+J27</f>
        <v>113.48699999999999</v>
      </c>
      <c r="M27" s="2" t="s">
        <v>24</v>
      </c>
      <c r="N27" s="7">
        <f>I29*(D18-1)</f>
        <v>11.897643464129256</v>
      </c>
      <c r="O27" s="3">
        <f>N27/$N$29</f>
        <v>2.2529530991597359E-2</v>
      </c>
      <c r="P27" s="7">
        <f>N27/I25</f>
        <v>0.37180135825403926</v>
      </c>
      <c r="Q27" s="3">
        <f>P27/$P$29</f>
        <v>1.9929374760764292E-2</v>
      </c>
    </row>
    <row r="28" spans="1:17" x14ac:dyDescent="0.3">
      <c r="A28" s="7"/>
      <c r="B28" s="7"/>
      <c r="C28" s="7">
        <f>-H16/2</f>
        <v>-0.63225319727730955</v>
      </c>
      <c r="D28" s="7">
        <f>C28*3.77</f>
        <v>-2.383594553735457</v>
      </c>
      <c r="E28" s="7">
        <f>C28+D28</f>
        <v>-3.0158477510127666</v>
      </c>
      <c r="G28" s="7">
        <f>A28*G$25</f>
        <v>0</v>
      </c>
      <c r="H28" s="7">
        <f t="shared" si="2"/>
        <v>0</v>
      </c>
      <c r="I28" s="7">
        <f t="shared" si="2"/>
        <v>-20.232102312873906</v>
      </c>
      <c r="J28" s="7">
        <f t="shared" si="2"/>
        <v>-66.7406475045928</v>
      </c>
      <c r="K28" s="7">
        <f>I28+J28</f>
        <v>-86.972749817466706</v>
      </c>
      <c r="M28" s="2" t="s">
        <v>25</v>
      </c>
      <c r="N28" s="7">
        <f>J29*D18</f>
        <v>334.34021887576546</v>
      </c>
      <c r="O28" s="3">
        <f>N28/$N$29</f>
        <v>0.63311094718959793</v>
      </c>
      <c r="P28" s="7">
        <f>N28/J25</f>
        <v>11.940722102705909</v>
      </c>
      <c r="Q28" s="3">
        <f>P28/$P$29</f>
        <v>0.64004910260809178</v>
      </c>
    </row>
    <row r="29" spans="1:17" x14ac:dyDescent="0.3">
      <c r="A29" s="7"/>
      <c r="B29" s="7"/>
      <c r="C29" s="7">
        <f>SUM(C26:C28)</f>
        <v>2.7954989342408965</v>
      </c>
      <c r="D29" s="7">
        <f>C29*3.77</f>
        <v>10.53903098208818</v>
      </c>
      <c r="E29" s="7">
        <f>C29+D29</f>
        <v>13.334529916329076</v>
      </c>
      <c r="G29" s="7">
        <f>A29*G$25</f>
        <v>0</v>
      </c>
      <c r="H29" s="7">
        <f t="shared" si="2"/>
        <v>0</v>
      </c>
      <c r="I29" s="7">
        <f>C29*I$25</f>
        <v>89.455965895708687</v>
      </c>
      <c r="J29" s="7">
        <f>D29*J$25</f>
        <v>295.09286749846905</v>
      </c>
      <c r="K29" s="7">
        <f>I29+J29</f>
        <v>384.54883339417773</v>
      </c>
      <c r="M29" s="2" t="s">
        <v>7</v>
      </c>
      <c r="N29" s="7">
        <f>SUM(N25:N28)</f>
        <v>528.09104053549163</v>
      </c>
      <c r="O29" s="3">
        <f>N29/$N$29</f>
        <v>1</v>
      </c>
      <c r="P29" s="7">
        <f>SUM(P25:P28)</f>
        <v>18.655946948522367</v>
      </c>
      <c r="Q29" s="3">
        <f>P29/$P$29</f>
        <v>1</v>
      </c>
    </row>
    <row r="30" spans="1:17" x14ac:dyDescent="0.3">
      <c r="M30" s="8"/>
      <c r="N30" s="8"/>
      <c r="O30" s="8"/>
      <c r="P30" s="8"/>
      <c r="Q30" s="8"/>
    </row>
    <row r="31" spans="1:17" x14ac:dyDescent="0.3">
      <c r="M31" t="s">
        <v>61</v>
      </c>
    </row>
    <row r="32" spans="1:17" x14ac:dyDescent="0.3">
      <c r="M32" t="s">
        <v>50</v>
      </c>
      <c r="N32" t="s">
        <v>8</v>
      </c>
      <c r="O32" t="s">
        <v>35</v>
      </c>
      <c r="P32" t="s">
        <v>10</v>
      </c>
      <c r="Q32" t="s">
        <v>34</v>
      </c>
    </row>
    <row r="33" spans="13:17" x14ac:dyDescent="0.3">
      <c r="M33" s="2" t="s">
        <v>22</v>
      </c>
      <c r="N33" s="7">
        <f>N25</f>
        <v>114.52109378680107</v>
      </c>
      <c r="O33" s="3">
        <f>N33/$N$37</f>
        <v>0.24854881769310846</v>
      </c>
      <c r="P33" s="7">
        <f>N33/G25</f>
        <v>2.6027521315182063</v>
      </c>
      <c r="Q33" s="3">
        <f>P33/$P$37</f>
        <v>0.17450244987969157</v>
      </c>
    </row>
    <row r="34" spans="13:17" x14ac:dyDescent="0.3">
      <c r="M34" s="2" t="s">
        <v>23</v>
      </c>
      <c r="N34" s="7">
        <v>0</v>
      </c>
      <c r="O34" s="3">
        <f t="shared" ref="O34:O37" si="3">N34/$N$37</f>
        <v>0</v>
      </c>
      <c r="P34" s="7">
        <f>N34/H25</f>
        <v>0</v>
      </c>
      <c r="Q34" s="3">
        <f t="shared" ref="Q34:Q37" si="4">P34/$P$37</f>
        <v>0</v>
      </c>
    </row>
    <row r="35" spans="13:17" x14ac:dyDescent="0.3">
      <c r="M35" s="2" t="s">
        <v>24</v>
      </c>
      <c r="N35" s="7">
        <f>N27</f>
        <v>11.897643464129256</v>
      </c>
      <c r="O35" s="3">
        <f t="shared" si="3"/>
        <v>2.5821838742202848E-2</v>
      </c>
      <c r="P35" s="7">
        <f>N35/I25</f>
        <v>0.37180135825403926</v>
      </c>
      <c r="Q35" s="3">
        <f t="shared" si="4"/>
        <v>2.4927555374272835E-2</v>
      </c>
    </row>
    <row r="36" spans="13:17" x14ac:dyDescent="0.3">
      <c r="M36" s="2" t="s">
        <v>25</v>
      </c>
      <c r="N36" s="7">
        <f>N28</f>
        <v>334.34021887576546</v>
      </c>
      <c r="O36" s="3">
        <f t="shared" si="3"/>
        <v>0.72562934356468867</v>
      </c>
      <c r="P36" s="7">
        <f>N36/J25</f>
        <v>11.940722102705909</v>
      </c>
      <c r="Q36" s="3">
        <f t="shared" si="4"/>
        <v>0.80056999474603552</v>
      </c>
    </row>
    <row r="37" spans="13:17" x14ac:dyDescent="0.3">
      <c r="M37" s="2" t="s">
        <v>7</v>
      </c>
      <c r="N37" s="7">
        <f>SUM(N33:N36)</f>
        <v>460.75895612669581</v>
      </c>
      <c r="O37" s="3">
        <f t="shared" si="3"/>
        <v>1</v>
      </c>
      <c r="P37" s="7">
        <f>SUM(P33:P36)</f>
        <v>14.915275592478155</v>
      </c>
      <c r="Q37" s="3">
        <f t="shared" si="4"/>
        <v>1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Day 1 and 2</vt:lpstr>
    </vt:vector>
  </TitlesOfParts>
  <Company>Aalto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Järvinen Mika</dc:creator>
  <cp:lastModifiedBy>Järvinen Mika</cp:lastModifiedBy>
  <dcterms:created xsi:type="dcterms:W3CDTF">2018-02-01T10:59:53Z</dcterms:created>
  <dcterms:modified xsi:type="dcterms:W3CDTF">2019-03-21T09:49:58Z</dcterms:modified>
</cp:coreProperties>
</file>