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-my.sharepoint.com/personal/zeiad_abdelghafor_aalto_fi/Documents/PNA Work/Revision/"/>
    </mc:Choice>
  </mc:AlternateContent>
  <xr:revisionPtr revIDLastSave="0" documentId="8_{2A904AB6-5E10-4AC3-A34D-0EAA6A9911DB}" xr6:coauthVersionLast="45" xr6:coauthVersionMax="45" xr10:uidLastSave="{00000000-0000-0000-0000-000000000000}"/>
  <bookViews>
    <workbookView xWindow="-120" yWindow="-120" windowWidth="25440" windowHeight="15390" activeTab="4" xr2:uid="{A47DD6BF-6264-44E1-B868-AB2360DA1E93}"/>
  </bookViews>
  <sheets>
    <sheet name="Main Data" sheetId="1" r:id="rId1"/>
    <sheet name="Offset Tables" sheetId="2" r:id="rId2"/>
    <sheet name="Form" sheetId="3" r:id="rId3"/>
    <sheet name="Lines" sheetId="4" r:id="rId4"/>
    <sheet name="SAC" sheetId="5" r:id="rId5"/>
    <sheet name="Recommended SAC" sheetId="6" r:id="rId6"/>
  </sheets>
  <externalReferences>
    <externalReference r:id="rId7"/>
  </externalReferences>
  <definedNames>
    <definedName name="Am">'Main Data'!$C$30</definedName>
    <definedName name="Aw">'Main Data'!$C$35</definedName>
    <definedName name="B">'Main Data'!$C$9</definedName>
    <definedName name="CB">'Main Data'!$C$28</definedName>
    <definedName name="CM">'Main Data'!$C$31</definedName>
    <definedName name="CW">'Main Data'!$C$36</definedName>
    <definedName name="D">'Main Data'!$C$11</definedName>
    <definedName name="Fn">'[1]Main Data'!$C$19</definedName>
    <definedName name="Lpp">'Main Data'!$C$7</definedName>
    <definedName name="Lwl">'Main Data'!$C$8</definedName>
    <definedName name="T">'Main Data'!$C$10</definedName>
    <definedName name="V">'Main Data'!$C$18</definedName>
    <definedName name="Vol">'Main Data'!$C$13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" i="5" l="1"/>
  <c r="R10" i="2" l="1"/>
  <c r="R11" i="2"/>
  <c r="R12" i="2"/>
  <c r="R13" i="2"/>
  <c r="R14" i="2"/>
  <c r="R15" i="2"/>
  <c r="R16" i="2"/>
  <c r="R17" i="2"/>
  <c r="R18" i="2"/>
  <c r="R19" i="2"/>
  <c r="R20" i="2"/>
  <c r="I8" i="2"/>
  <c r="J8" i="2"/>
  <c r="K8" i="2"/>
  <c r="L8" i="2"/>
  <c r="M8" i="2"/>
  <c r="N8" i="2"/>
  <c r="O8" i="2"/>
  <c r="P8" i="2"/>
  <c r="Q8" i="2"/>
  <c r="H8" i="2"/>
  <c r="S10" i="2" l="1"/>
  <c r="S11" i="2"/>
  <c r="S12" i="2"/>
  <c r="S13" i="2"/>
  <c r="S14" i="2"/>
  <c r="S15" i="2"/>
  <c r="S16" i="2"/>
  <c r="S17" i="2"/>
  <c r="S18" i="2"/>
  <c r="S19" i="2"/>
  <c r="S20" i="2"/>
  <c r="S9" i="2"/>
  <c r="R9" i="2"/>
  <c r="G10" i="2"/>
  <c r="H10" i="2"/>
  <c r="I10" i="2"/>
  <c r="J10" i="2"/>
  <c r="K10" i="2"/>
  <c r="L10" i="2"/>
  <c r="M10" i="2"/>
  <c r="N10" i="2"/>
  <c r="O10" i="2"/>
  <c r="P10" i="2"/>
  <c r="Q10" i="2"/>
  <c r="G11" i="2"/>
  <c r="H11" i="2"/>
  <c r="I11" i="2"/>
  <c r="J11" i="2"/>
  <c r="K11" i="2"/>
  <c r="L11" i="2"/>
  <c r="M11" i="2"/>
  <c r="N11" i="2"/>
  <c r="O11" i="2"/>
  <c r="P11" i="2"/>
  <c r="Q11" i="2"/>
  <c r="G12" i="2"/>
  <c r="H12" i="2"/>
  <c r="I12" i="2"/>
  <c r="J12" i="2"/>
  <c r="K12" i="2"/>
  <c r="L12" i="2"/>
  <c r="M12" i="2"/>
  <c r="N12" i="2"/>
  <c r="O12" i="2"/>
  <c r="P12" i="2"/>
  <c r="Q12" i="2"/>
  <c r="G13" i="2"/>
  <c r="H13" i="2"/>
  <c r="I13" i="2"/>
  <c r="J13" i="2"/>
  <c r="K13" i="2"/>
  <c r="L13" i="2"/>
  <c r="M13" i="2"/>
  <c r="N13" i="2"/>
  <c r="O13" i="2"/>
  <c r="P13" i="2"/>
  <c r="Q13" i="2"/>
  <c r="G14" i="2"/>
  <c r="H14" i="2"/>
  <c r="I14" i="2"/>
  <c r="J14" i="2"/>
  <c r="K14" i="2"/>
  <c r="L14" i="2"/>
  <c r="M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J17" i="2"/>
  <c r="K17" i="2"/>
  <c r="L17" i="2"/>
  <c r="M17" i="2"/>
  <c r="N17" i="2"/>
  <c r="O17" i="2"/>
  <c r="P17" i="2"/>
  <c r="Q17" i="2"/>
  <c r="G18" i="2"/>
  <c r="H18" i="2"/>
  <c r="I18" i="2"/>
  <c r="J18" i="2"/>
  <c r="K18" i="2"/>
  <c r="L18" i="2"/>
  <c r="M18" i="2"/>
  <c r="N18" i="2"/>
  <c r="O18" i="2"/>
  <c r="P18" i="2"/>
  <c r="Q18" i="2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H9" i="2"/>
  <c r="I9" i="2"/>
  <c r="J9" i="2"/>
  <c r="K9" i="2"/>
  <c r="L9" i="2"/>
  <c r="M9" i="2"/>
  <c r="N9" i="2"/>
  <c r="O9" i="2"/>
  <c r="P9" i="2"/>
  <c r="Q9" i="2"/>
  <c r="G9" i="2"/>
  <c r="F14" i="2"/>
  <c r="F15" i="2"/>
  <c r="F16" i="2"/>
  <c r="F17" i="2"/>
  <c r="F18" i="2"/>
  <c r="F19" i="2"/>
  <c r="F20" i="2"/>
  <c r="F13" i="2"/>
  <c r="E10" i="2"/>
  <c r="E11" i="2"/>
  <c r="E12" i="2"/>
  <c r="E13" i="2"/>
  <c r="E14" i="2"/>
  <c r="E15" i="2"/>
  <c r="E16" i="2"/>
  <c r="E17" i="2"/>
  <c r="E18" i="2"/>
  <c r="E19" i="2"/>
  <c r="E20" i="2"/>
  <c r="E9" i="2"/>
  <c r="D10" i="2"/>
  <c r="D11" i="2"/>
  <c r="D12" i="2"/>
  <c r="D13" i="2"/>
  <c r="D14" i="2"/>
  <c r="D15" i="2"/>
  <c r="D16" i="2"/>
  <c r="D17" i="2"/>
  <c r="D18" i="2"/>
  <c r="D19" i="2"/>
  <c r="D20" i="2"/>
  <c r="D9" i="2"/>
  <c r="C33" i="2"/>
  <c r="C32" i="2"/>
  <c r="C31" i="2"/>
  <c r="C30" i="2"/>
  <c r="C9" i="2"/>
  <c r="C10" i="2"/>
  <c r="C11" i="2"/>
  <c r="C12" i="2"/>
  <c r="C13" i="2"/>
  <c r="C14" i="2"/>
  <c r="C15" i="2"/>
  <c r="C16" i="2"/>
  <c r="C17" i="2"/>
  <c r="C18" i="2"/>
  <c r="AH28" i="5" l="1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O12" i="6"/>
  <c r="AR12" i="6" s="1"/>
  <c r="AQ11" i="6"/>
  <c r="AO11" i="6"/>
  <c r="AR11" i="6" s="1"/>
  <c r="AO10" i="6"/>
  <c r="AR10" i="6" s="1"/>
  <c r="AO9" i="6"/>
  <c r="AR9" i="6" s="1"/>
  <c r="AR8" i="6"/>
  <c r="AQ8" i="6"/>
  <c r="AO8" i="6"/>
  <c r="AQ7" i="6"/>
  <c r="AO7" i="6"/>
  <c r="AR7" i="6" s="1"/>
  <c r="I17" i="6"/>
  <c r="M12" i="6"/>
  <c r="M11" i="6"/>
  <c r="M10" i="6"/>
  <c r="M9" i="6"/>
  <c r="M8" i="6"/>
  <c r="M7" i="6"/>
  <c r="C16" i="5"/>
  <c r="C15" i="5"/>
  <c r="C14" i="5"/>
  <c r="C13" i="5"/>
  <c r="C12" i="5"/>
  <c r="C11" i="5"/>
  <c r="C10" i="5"/>
  <c r="C9" i="5"/>
  <c r="C8" i="5"/>
  <c r="C7" i="5"/>
  <c r="P6" i="5"/>
  <c r="O6" i="5"/>
  <c r="N6" i="5"/>
  <c r="M6" i="5"/>
  <c r="L6" i="5"/>
  <c r="K6" i="5"/>
  <c r="J6" i="5"/>
  <c r="I6" i="5"/>
  <c r="H6" i="5"/>
  <c r="G6" i="5"/>
  <c r="AQ37" i="4"/>
  <c r="AQ36" i="4"/>
  <c r="AQ35" i="4"/>
  <c r="AQ34" i="4"/>
  <c r="AQ33" i="4"/>
  <c r="AQ32" i="4"/>
  <c r="AQ31" i="4"/>
  <c r="AQ30" i="4"/>
  <c r="AQ29" i="4"/>
  <c r="AQ28" i="4"/>
  <c r="AX27" i="4"/>
  <c r="AW27" i="4"/>
  <c r="AV27" i="4"/>
  <c r="AU27" i="4"/>
  <c r="AT27" i="4"/>
  <c r="C24" i="1"/>
  <c r="C23" i="1"/>
  <c r="C22" i="1"/>
  <c r="S5" i="1"/>
  <c r="S6" i="1"/>
  <c r="S7" i="1"/>
  <c r="S8" i="1"/>
  <c r="S9" i="1"/>
  <c r="S10" i="1"/>
  <c r="AC24" i="4"/>
  <c r="AB24" i="4"/>
  <c r="AA24" i="4"/>
  <c r="AA23" i="4"/>
  <c r="AC22" i="4"/>
  <c r="AB22" i="4"/>
  <c r="AA22" i="4"/>
  <c r="AA21" i="4"/>
  <c r="AC20" i="4"/>
  <c r="AB20" i="4"/>
  <c r="AA20" i="4"/>
  <c r="X20" i="4"/>
  <c r="AA19" i="4"/>
  <c r="X19" i="4"/>
  <c r="AC18" i="4"/>
  <c r="AB18" i="4"/>
  <c r="AA18" i="4"/>
  <c r="X18" i="4"/>
  <c r="AA17" i="4"/>
  <c r="X17" i="4"/>
  <c r="AC16" i="4"/>
  <c r="AB16" i="4"/>
  <c r="AA16" i="4"/>
  <c r="X16" i="4"/>
  <c r="AA15" i="4"/>
  <c r="X15" i="4"/>
  <c r="AC14" i="4"/>
  <c r="AB14" i="4"/>
  <c r="AA14" i="4"/>
  <c r="X14" i="4"/>
  <c r="AA13" i="4"/>
  <c r="X13" i="4"/>
  <c r="AC12" i="4"/>
  <c r="AB12" i="4"/>
  <c r="AA12" i="4"/>
  <c r="X12" i="4"/>
  <c r="AA11" i="4"/>
  <c r="X11" i="4"/>
  <c r="AC10" i="4"/>
  <c r="AB10" i="4"/>
  <c r="AA10" i="4"/>
  <c r="X10" i="4"/>
  <c r="AA9" i="4"/>
  <c r="X9" i="4"/>
  <c r="AC8" i="4"/>
  <c r="AB8" i="4"/>
  <c r="AA8" i="4"/>
  <c r="X8" i="4"/>
  <c r="AA7" i="4"/>
  <c r="X7" i="4"/>
  <c r="AC6" i="4"/>
  <c r="AB6" i="4"/>
  <c r="AA6" i="4"/>
  <c r="X6" i="4"/>
  <c r="AA5" i="4"/>
  <c r="X5" i="4"/>
  <c r="AC4" i="4"/>
  <c r="AB4" i="4"/>
  <c r="X4" i="4"/>
  <c r="X3" i="4"/>
  <c r="AA29" i="4" a="1"/>
  <c r="AA29" i="4" s="1"/>
  <c r="X21" i="3"/>
  <c r="X20" i="3"/>
  <c r="X19" i="3"/>
  <c r="X18" i="3"/>
  <c r="X17" i="3"/>
  <c r="X16" i="3"/>
  <c r="X15" i="3"/>
  <c r="X14" i="3"/>
  <c r="X13" i="3"/>
  <c r="X12" i="3"/>
  <c r="AQ9" i="6" l="1"/>
  <c r="AQ12" i="6"/>
  <c r="AQ10" i="6"/>
  <c r="W30" i="4" a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AG9" i="4" l="1"/>
  <c r="F8" i="5"/>
  <c r="N8" i="5"/>
  <c r="I9" i="5"/>
  <c r="Q9" i="5"/>
  <c r="L10" i="5"/>
  <c r="G11" i="5"/>
  <c r="O11" i="5"/>
  <c r="K7" i="5"/>
  <c r="F7" i="5"/>
  <c r="N12" i="5"/>
  <c r="J13" i="5"/>
  <c r="R13" i="5"/>
  <c r="N14" i="5"/>
  <c r="J15" i="5"/>
  <c r="R15" i="5"/>
  <c r="N16" i="5"/>
  <c r="J17" i="5"/>
  <c r="R17" i="5"/>
  <c r="E13" i="5"/>
  <c r="E8" i="5"/>
  <c r="D13" i="5"/>
  <c r="AX29" i="4"/>
  <c r="AT31" i="4"/>
  <c r="AV32" i="4"/>
  <c r="AX33" i="4"/>
  <c r="AT35" i="4"/>
  <c r="AV36" i="4"/>
  <c r="AX37" i="4"/>
  <c r="AT39" i="4"/>
  <c r="AW28" i="4"/>
  <c r="AR33" i="4"/>
  <c r="G8" i="5"/>
  <c r="O8" i="5"/>
  <c r="J9" i="5"/>
  <c r="R9" i="5"/>
  <c r="M10" i="5"/>
  <c r="H11" i="5"/>
  <c r="P11" i="5"/>
  <c r="L7" i="5"/>
  <c r="G12" i="5"/>
  <c r="O12" i="5"/>
  <c r="K13" i="5"/>
  <c r="G14" i="5"/>
  <c r="O14" i="5"/>
  <c r="K15" i="5"/>
  <c r="G16" i="5"/>
  <c r="O16" i="5"/>
  <c r="K17" i="5"/>
  <c r="F13" i="5"/>
  <c r="E14" i="5"/>
  <c r="D9" i="5"/>
  <c r="D14" i="5"/>
  <c r="AS30" i="4"/>
  <c r="AU31" i="4"/>
  <c r="AW32" i="4"/>
  <c r="AS34" i="4"/>
  <c r="AU35" i="4"/>
  <c r="AW36" i="4"/>
  <c r="AS38" i="4"/>
  <c r="AU39" i="4"/>
  <c r="AX28" i="4"/>
  <c r="AR34" i="4"/>
  <c r="H8" i="5"/>
  <c r="P8" i="5"/>
  <c r="K9" i="5"/>
  <c r="F10" i="5"/>
  <c r="N10" i="5"/>
  <c r="I11" i="5"/>
  <c r="Q11" i="5"/>
  <c r="M7" i="5"/>
  <c r="H12" i="5"/>
  <c r="P12" i="5"/>
  <c r="L13" i="5"/>
  <c r="H14" i="5"/>
  <c r="P14" i="5"/>
  <c r="L15" i="5"/>
  <c r="H16" i="5"/>
  <c r="P16" i="5"/>
  <c r="L17" i="5"/>
  <c r="F14" i="5"/>
  <c r="E15" i="5"/>
  <c r="E9" i="5"/>
  <c r="D15" i="5"/>
  <c r="AT30" i="4"/>
  <c r="AV31" i="4"/>
  <c r="AX32" i="4"/>
  <c r="AT34" i="4"/>
  <c r="AV35" i="4"/>
  <c r="AX36" i="4"/>
  <c r="AT38" i="4"/>
  <c r="AV39" i="4"/>
  <c r="AS28" i="4"/>
  <c r="AR35" i="4"/>
  <c r="I8" i="5"/>
  <c r="Q8" i="5"/>
  <c r="L9" i="5"/>
  <c r="G10" i="5"/>
  <c r="O10" i="5"/>
  <c r="J11" i="5"/>
  <c r="R11" i="5"/>
  <c r="N7" i="5"/>
  <c r="I12" i="5"/>
  <c r="Q12" i="5"/>
  <c r="M13" i="5"/>
  <c r="I14" i="5"/>
  <c r="Q14" i="5"/>
  <c r="AM16" i="6" s="1"/>
  <c r="M15" i="5"/>
  <c r="I16" i="5"/>
  <c r="Q16" i="5"/>
  <c r="M17" i="5"/>
  <c r="F15" i="5"/>
  <c r="E16" i="5"/>
  <c r="D10" i="5"/>
  <c r="D16" i="5"/>
  <c r="AS29" i="4"/>
  <c r="AU30" i="4"/>
  <c r="AW31" i="4"/>
  <c r="AS33" i="4"/>
  <c r="AU34" i="4"/>
  <c r="AW35" i="4"/>
  <c r="AS37" i="4"/>
  <c r="AU38" i="4"/>
  <c r="AW39" i="4"/>
  <c r="AR28" i="4"/>
  <c r="AR36" i="4"/>
  <c r="J8" i="5"/>
  <c r="R8" i="5"/>
  <c r="M9" i="5"/>
  <c r="H10" i="5"/>
  <c r="P10" i="5"/>
  <c r="K11" i="5"/>
  <c r="G7" i="5"/>
  <c r="O7" i="5"/>
  <c r="J12" i="5"/>
  <c r="R12" i="5"/>
  <c r="N13" i="5"/>
  <c r="J14" i="5"/>
  <c r="R14" i="5"/>
  <c r="N15" i="5"/>
  <c r="J16" i="5"/>
  <c r="R16" i="5"/>
  <c r="N17" i="5"/>
  <c r="F16" i="5"/>
  <c r="E17" i="5"/>
  <c r="E10" i="5"/>
  <c r="D17" i="5"/>
  <c r="AT29" i="4"/>
  <c r="AV30" i="4"/>
  <c r="AX31" i="4"/>
  <c r="AT33" i="4"/>
  <c r="AV34" i="4"/>
  <c r="AX35" i="4"/>
  <c r="AT37" i="4"/>
  <c r="AV38" i="4"/>
  <c r="AX39" i="4"/>
  <c r="AR29" i="4"/>
  <c r="AR37" i="4"/>
  <c r="K8" i="5"/>
  <c r="F9" i="5"/>
  <c r="N9" i="5"/>
  <c r="I10" i="5"/>
  <c r="Q10" i="5"/>
  <c r="L11" i="5"/>
  <c r="H7" i="5"/>
  <c r="P7" i="5"/>
  <c r="K12" i="5"/>
  <c r="G13" i="5"/>
  <c r="O13" i="5"/>
  <c r="K14" i="5"/>
  <c r="G15" i="5"/>
  <c r="O15" i="5"/>
  <c r="K16" i="5"/>
  <c r="G17" i="5"/>
  <c r="O17" i="5"/>
  <c r="F17" i="5"/>
  <c r="E12" i="5"/>
  <c r="E7" i="5"/>
  <c r="D7" i="5"/>
  <c r="AU29" i="4"/>
  <c r="AW30" i="4"/>
  <c r="AS32" i="4"/>
  <c r="AU33" i="4"/>
  <c r="AW34" i="4"/>
  <c r="AS36" i="4"/>
  <c r="AU37" i="4"/>
  <c r="AW38" i="4"/>
  <c r="AT28" i="4"/>
  <c r="AR30" i="4"/>
  <c r="AR38" i="4"/>
  <c r="L8" i="5"/>
  <c r="G9" i="5"/>
  <c r="O9" i="5"/>
  <c r="J10" i="5"/>
  <c r="R10" i="5"/>
  <c r="M11" i="5"/>
  <c r="I7" i="5"/>
  <c r="Q7" i="5"/>
  <c r="L12" i="5"/>
  <c r="H13" i="5"/>
  <c r="P13" i="5"/>
  <c r="L14" i="5"/>
  <c r="H15" i="5"/>
  <c r="P15" i="5"/>
  <c r="L16" i="5"/>
  <c r="H17" i="5"/>
  <c r="P17" i="5"/>
  <c r="F12" i="5"/>
  <c r="E11" i="5"/>
  <c r="D11" i="5"/>
  <c r="AV29" i="4"/>
  <c r="AX30" i="4"/>
  <c r="AT32" i="4"/>
  <c r="AV33" i="4"/>
  <c r="AX34" i="4"/>
  <c r="AT36" i="4"/>
  <c r="AV37" i="4"/>
  <c r="AX38" i="4"/>
  <c r="AU28" i="4"/>
  <c r="AR31" i="4"/>
  <c r="AR39" i="4"/>
  <c r="M8" i="5"/>
  <c r="H9" i="5"/>
  <c r="P9" i="5"/>
  <c r="K10" i="5"/>
  <c r="F11" i="5"/>
  <c r="N11" i="5"/>
  <c r="J7" i="5"/>
  <c r="R7" i="5"/>
  <c r="M12" i="5"/>
  <c r="I13" i="5"/>
  <c r="Q13" i="5"/>
  <c r="M14" i="5"/>
  <c r="I15" i="5"/>
  <c r="Q15" i="5"/>
  <c r="M16" i="5"/>
  <c r="I17" i="5"/>
  <c r="Q17" i="5"/>
  <c r="D8" i="5"/>
  <c r="D12" i="5"/>
  <c r="AW29" i="4"/>
  <c r="AS31" i="4"/>
  <c r="AU32" i="4"/>
  <c r="AW33" i="4"/>
  <c r="AS35" i="4"/>
  <c r="AU36" i="4"/>
  <c r="AW37" i="4"/>
  <c r="AS39" i="4"/>
  <c r="AV28" i="4"/>
  <c r="AR32" i="4"/>
  <c r="Y15" i="4"/>
  <c r="AE9" i="4"/>
  <c r="AH6" i="4"/>
  <c r="AG4" i="4"/>
  <c r="AG17" i="4"/>
  <c r="AG10" i="4"/>
  <c r="Y11" i="4"/>
  <c r="Y8" i="4"/>
  <c r="AL4" i="4"/>
  <c r="AH8" i="4"/>
  <c r="AH16" i="4"/>
  <c r="AL3" i="4"/>
  <c r="AG11" i="4"/>
  <c r="AF4" i="4"/>
  <c r="AL5" i="4"/>
  <c r="Y16" i="4"/>
  <c r="Y9" i="4"/>
  <c r="AE12" i="4"/>
  <c r="Y12" i="4"/>
  <c r="AG8" i="4"/>
  <c r="AG3" i="4"/>
  <c r="AG21" i="4"/>
  <c r="AH10" i="4"/>
  <c r="AL7" i="4"/>
  <c r="Y10" i="4"/>
  <c r="AG14" i="4"/>
  <c r="W30" i="4"/>
  <c r="Y3" i="4" s="1"/>
  <c r="AG19" i="4"/>
  <c r="AG6" i="4"/>
  <c r="AE11" i="4"/>
  <c r="AG22" i="4"/>
  <c r="AF12" i="4"/>
  <c r="AH12" i="4"/>
  <c r="Y13" i="4"/>
  <c r="AE10" i="4"/>
  <c r="AG13" i="4"/>
  <c r="AG15" i="4"/>
  <c r="AE8" i="4"/>
  <c r="AH4" i="4"/>
  <c r="AH18" i="4"/>
  <c r="AJ4" i="4"/>
  <c r="W4" i="4" s="1"/>
  <c r="Y18" i="4"/>
  <c r="AH14" i="4"/>
  <c r="AE4" i="4"/>
  <c r="AG12" i="4"/>
  <c r="AH22" i="4"/>
  <c r="AE7" i="4"/>
  <c r="Y6" i="4"/>
  <c r="AH20" i="4"/>
  <c r="AE3" i="4"/>
  <c r="Y14" i="4"/>
  <c r="AG16" i="4"/>
  <c r="AG5" i="4"/>
  <c r="AF10" i="4"/>
  <c r="AG20" i="4"/>
  <c r="AE6" i="4"/>
  <c r="Y7" i="4"/>
  <c r="Y17" i="4"/>
  <c r="AG7" i="4"/>
  <c r="Y5" i="4"/>
  <c r="Y20" i="4"/>
  <c r="AL6" i="4"/>
  <c r="AL9" i="4"/>
  <c r="Y19" i="4"/>
  <c r="AE5" i="4"/>
  <c r="AF8" i="4"/>
  <c r="AJ3" i="4"/>
  <c r="AL8" i="4"/>
  <c r="AF6" i="4"/>
  <c r="AG18" i="4"/>
  <c r="X8" i="3"/>
  <c r="X9" i="3"/>
  <c r="X11" i="3"/>
  <c r="X10" i="3"/>
  <c r="X4" i="3"/>
  <c r="X5" i="3"/>
  <c r="X7" i="3"/>
  <c r="X6" i="3"/>
  <c r="S16" i="5" l="1"/>
  <c r="T16" i="5" s="1"/>
  <c r="Y4" i="4"/>
  <c r="W16" i="4"/>
  <c r="S10" i="5"/>
  <c r="T10" i="5" s="1"/>
  <c r="J21" i="5"/>
  <c r="E21" i="5"/>
  <c r="S14" i="5"/>
  <c r="T14" i="5" s="1"/>
  <c r="K21" i="5"/>
  <c r="C6" i="1"/>
  <c r="S12" i="5"/>
  <c r="T12" i="5" s="1"/>
  <c r="F21" i="5"/>
  <c r="S17" i="5"/>
  <c r="S15" i="5"/>
  <c r="T15" i="5" s="1"/>
  <c r="L21" i="5"/>
  <c r="W13" i="4"/>
  <c r="C8" i="1"/>
  <c r="C19" i="1" s="1"/>
  <c r="O21" i="5"/>
  <c r="N21" i="5"/>
  <c r="M21" i="5"/>
  <c r="AM6" i="4"/>
  <c r="AO6" i="4" s="1"/>
  <c r="X11" i="5" s="1"/>
  <c r="H21" i="5"/>
  <c r="G21" i="5"/>
  <c r="S13" i="5"/>
  <c r="T13" i="5" s="1"/>
  <c r="R22" i="5"/>
  <c r="S9" i="5"/>
  <c r="T9" i="5" s="1"/>
  <c r="Z16" i="6"/>
  <c r="S11" i="5"/>
  <c r="S8" i="5"/>
  <c r="T8" i="5" s="1"/>
  <c r="P21" i="5"/>
  <c r="I21" i="5"/>
  <c r="S7" i="5"/>
  <c r="T7" i="5" s="1"/>
  <c r="R21" i="5"/>
  <c r="AN16" i="6" s="1"/>
  <c r="W8" i="4"/>
  <c r="W18" i="4"/>
  <c r="W12" i="4"/>
  <c r="W6" i="4"/>
  <c r="W14" i="4"/>
  <c r="W9" i="4"/>
  <c r="W3" i="4"/>
  <c r="W7" i="4"/>
  <c r="W15" i="4"/>
  <c r="W11" i="4"/>
  <c r="W20" i="4"/>
  <c r="W17" i="4"/>
  <c r="W10" i="4"/>
  <c r="W19" i="4"/>
  <c r="W5" i="4"/>
  <c r="AA16" i="6" l="1"/>
  <c r="E22" i="5"/>
  <c r="T11" i="5"/>
  <c r="C35" i="1"/>
  <c r="C36" i="1" s="1"/>
  <c r="H22" i="5"/>
  <c r="AD16" i="6"/>
  <c r="T17" i="5"/>
  <c r="W11" i="5"/>
  <c r="F22" i="5"/>
  <c r="AB16" i="6"/>
  <c r="N22" i="5"/>
  <c r="AJ16" i="6"/>
  <c r="G22" i="5"/>
  <c r="AC16" i="6"/>
  <c r="L22" i="5"/>
  <c r="AH16" i="6"/>
  <c r="J22" i="5"/>
  <c r="AF16" i="6"/>
  <c r="S21" i="5"/>
  <c r="T21" i="5" s="1"/>
  <c r="M22" i="5"/>
  <c r="AI16" i="6"/>
  <c r="I22" i="5"/>
  <c r="V21" i="5"/>
  <c r="C30" i="1" s="1"/>
  <c r="AE16" i="6"/>
  <c r="O22" i="5"/>
  <c r="AK16" i="6"/>
  <c r="P22" i="5"/>
  <c r="AL16" i="6"/>
  <c r="K22" i="5"/>
  <c r="AG16" i="6"/>
  <c r="AO16" i="6" l="1"/>
  <c r="J17" i="6" s="1"/>
  <c r="V22" i="5"/>
  <c r="AI18" i="5"/>
  <c r="C31" i="1"/>
  <c r="AI28" i="5"/>
  <c r="AI12" i="5"/>
  <c r="AI22" i="5"/>
  <c r="AI16" i="5"/>
  <c r="AI26" i="5"/>
  <c r="AI10" i="5"/>
  <c r="AI20" i="5"/>
  <c r="AI14" i="5"/>
  <c r="AI24" i="5"/>
  <c r="AI8" i="5"/>
  <c r="U21" i="5"/>
  <c r="AP16" i="6"/>
  <c r="K17" i="6" s="1"/>
  <c r="Y11" i="5"/>
  <c r="W7" i="5"/>
  <c r="S22" i="5"/>
  <c r="C16" i="1" s="1"/>
  <c r="U11" i="5"/>
  <c r="Z11" i="5" l="1"/>
  <c r="C38" i="1" s="1"/>
  <c r="AQ16" i="6"/>
  <c r="L17" i="6" s="1"/>
  <c r="C13" i="1"/>
  <c r="AB11" i="5"/>
  <c r="C41" i="1" s="1"/>
  <c r="AA11" i="5"/>
  <c r="AR16" i="6"/>
  <c r="M17" i="6" s="1"/>
  <c r="C28" i="1" l="1"/>
  <c r="C26" i="1"/>
  <c r="C14" i="1"/>
  <c r="H41" i="1"/>
  <c r="C40" i="1"/>
  <c r="AC11" i="5"/>
  <c r="C42" i="1" s="1"/>
  <c r="H31" i="1" l="1"/>
  <c r="H36" i="1"/>
  <c r="H40" i="1"/>
  <c r="H42" i="1" s="1"/>
  <c r="C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<sst xmlns="http://schemas.openxmlformats.org/spreadsheetml/2006/main" count="422" uniqueCount="134">
  <si>
    <t>Excel Lines Drawing</t>
  </si>
  <si>
    <t xml:space="preserve">Ship type: </t>
  </si>
  <si>
    <t>Passenger Ferry, 2 propellers</t>
  </si>
  <si>
    <t>Loa</t>
  </si>
  <si>
    <t>[m]</t>
  </si>
  <si>
    <t>From lines</t>
  </si>
  <si>
    <t>Given data</t>
  </si>
  <si>
    <t>Lwl</t>
  </si>
  <si>
    <t>B</t>
  </si>
  <si>
    <t>T</t>
  </si>
  <si>
    <t>D</t>
  </si>
  <si>
    <t>Displacement Volume (Vol):</t>
  </si>
  <si>
    <t>[m3]</t>
  </si>
  <si>
    <t>Hull + Skeg</t>
  </si>
  <si>
    <t>Displacement Weight ( Displ)</t>
  </si>
  <si>
    <t>[ton]</t>
  </si>
  <si>
    <t>1,025*Vol</t>
  </si>
  <si>
    <t>Hull Volume to Upper Deck</t>
  </si>
  <si>
    <t>Speed (V):</t>
  </si>
  <si>
    <t>[kn]</t>
  </si>
  <si>
    <t>Hull form coefficients:</t>
  </si>
  <si>
    <t>L / B</t>
  </si>
  <si>
    <t>L / D</t>
  </si>
  <si>
    <t>B / T</t>
  </si>
  <si>
    <t>Slenderness ratio:</t>
  </si>
  <si>
    <t>Lwl/Vol^(1/3)</t>
  </si>
  <si>
    <t>Vol / Lpp*B*T</t>
  </si>
  <si>
    <t>Midship area (Am):</t>
  </si>
  <si>
    <t>[m2]</t>
  </si>
  <si>
    <t>Midship area coefficients (CM):</t>
  </si>
  <si>
    <t>Am/B/T</t>
  </si>
  <si>
    <t>Prismatic coefficient (CP):</t>
  </si>
  <si>
    <t>CB/CM</t>
  </si>
  <si>
    <t>Waterplane area (Aw):</t>
  </si>
  <si>
    <t>Waterplane area coefficients (CW):</t>
  </si>
  <si>
    <t>Aw/Lpp/B</t>
  </si>
  <si>
    <t>LCB:</t>
  </si>
  <si>
    <t>KB</t>
  </si>
  <si>
    <t>BM</t>
  </si>
  <si>
    <t>KM</t>
  </si>
  <si>
    <t>KMT-formula</t>
  </si>
  <si>
    <t>Fn</t>
  </si>
  <si>
    <t>CB</t>
  </si>
  <si>
    <t>CM</t>
  </si>
  <si>
    <t>CP</t>
  </si>
  <si>
    <t>CW</t>
  </si>
  <si>
    <t>Upper Dk</t>
  </si>
  <si>
    <t>WL 8</t>
  </si>
  <si>
    <t>WL 7</t>
  </si>
  <si>
    <t>WL 6</t>
  </si>
  <si>
    <t xml:space="preserve">CWL </t>
  </si>
  <si>
    <t>WL 4</t>
  </si>
  <si>
    <t>WL 3</t>
  </si>
  <si>
    <t>WL 2</t>
  </si>
  <si>
    <t>WL 1</t>
  </si>
  <si>
    <t>WL 1/2</t>
  </si>
  <si>
    <t>WL 1/10</t>
  </si>
  <si>
    <t>Flat Bottom</t>
  </si>
  <si>
    <t>CL</t>
  </si>
  <si>
    <t>z</t>
  </si>
  <si>
    <t xml:space="preserve">         Stern-profile</t>
  </si>
  <si>
    <t>x</t>
  </si>
  <si>
    <t>y</t>
  </si>
  <si>
    <t>CL-</t>
  </si>
  <si>
    <t>buttock</t>
  </si>
  <si>
    <t>Fr 0</t>
  </si>
  <si>
    <t>Fr 1</t>
  </si>
  <si>
    <t>Fr 2</t>
  </si>
  <si>
    <t>Fr 3</t>
  </si>
  <si>
    <t>Fr 4</t>
  </si>
  <si>
    <t>Fr 5</t>
  </si>
  <si>
    <t>Fr 6</t>
  </si>
  <si>
    <t>Fr 7</t>
  </si>
  <si>
    <t>Fr 8</t>
  </si>
  <si>
    <t>Fr 9</t>
  </si>
  <si>
    <t>Fr 10</t>
  </si>
  <si>
    <t xml:space="preserve">      Bow-profile</t>
  </si>
  <si>
    <t>CWL</t>
  </si>
  <si>
    <t>Table for marking waterlines</t>
  </si>
  <si>
    <t>Water Lines</t>
  </si>
  <si>
    <t>Sections</t>
  </si>
  <si>
    <t>Tramsom</t>
  </si>
  <si>
    <t>Bow</t>
  </si>
  <si>
    <t>Lenght OA</t>
  </si>
  <si>
    <t xml:space="preserve">Skeg  (not integrated into hull form) </t>
  </si>
  <si>
    <t>area</t>
  </si>
  <si>
    <t>thickness</t>
  </si>
  <si>
    <t>volume</t>
  </si>
  <si>
    <t>min x</t>
  </si>
  <si>
    <t>max x</t>
  </si>
  <si>
    <r>
      <t>L</t>
    </r>
    <r>
      <rPr>
        <b/>
        <sz val="8"/>
        <rFont val="Arial"/>
        <family val="2"/>
      </rPr>
      <t>pp</t>
    </r>
  </si>
  <si>
    <r>
      <t>Froude Nr. (F</t>
    </r>
    <r>
      <rPr>
        <b/>
        <sz val="8"/>
        <rFont val="Arial"/>
        <family val="2"/>
      </rPr>
      <t>n</t>
    </r>
    <r>
      <rPr>
        <b/>
        <sz val="10"/>
        <rFont val="Arial"/>
        <family val="2"/>
      </rPr>
      <t>):</t>
    </r>
  </si>
  <si>
    <r>
      <t>B</t>
    </r>
    <r>
      <rPr>
        <b/>
        <sz val="10"/>
        <rFont val="Arial"/>
        <family val="2"/>
      </rPr>
      <t>lock coefficient (CB</t>
    </r>
    <r>
      <rPr>
        <b/>
        <sz val="10"/>
        <rFont val="Arial"/>
        <family val="2"/>
      </rPr>
      <t>):</t>
    </r>
  </si>
  <si>
    <t>Transom</t>
  </si>
  <si>
    <t>Water Line Half Breadths</t>
  </si>
  <si>
    <t>Hull</t>
  </si>
  <si>
    <t>Area</t>
  </si>
  <si>
    <t>LCA</t>
  </si>
  <si>
    <t>LCB</t>
  </si>
  <si>
    <t>I T</t>
  </si>
  <si>
    <t>Hull Vol</t>
  </si>
  <si>
    <t>Skeg Vol</t>
  </si>
  <si>
    <t>Tot Vol</t>
  </si>
  <si>
    <t>[ m2 ]</t>
  </si>
  <si>
    <t>[ % ]</t>
  </si>
  <si>
    <t>[ m4 ]</t>
  </si>
  <si>
    <t>[ m3 ]</t>
  </si>
  <si>
    <t>[ m ]</t>
  </si>
  <si>
    <r>
      <t>Section Areas (SB+BB) [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]</t>
    </r>
  </si>
  <si>
    <t>Bulb</t>
  </si>
  <si>
    <t>Am</t>
  </si>
  <si>
    <r>
      <t>[ 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]</t>
    </r>
  </si>
  <si>
    <r>
      <t>[ 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]</t>
    </r>
  </si>
  <si>
    <t xml:space="preserve">     Recommended SAC</t>
  </si>
  <si>
    <t>Calculated for the lines drawing</t>
  </si>
  <si>
    <t xml:space="preserve"> CB</t>
  </si>
  <si>
    <t xml:space="preserve">          Transom</t>
  </si>
  <si>
    <t>Rec.</t>
  </si>
  <si>
    <t>Rec</t>
  </si>
  <si>
    <t>a</t>
  </si>
  <si>
    <t xml:space="preserve">Section Area Curve </t>
  </si>
  <si>
    <t>Calculated</t>
  </si>
  <si>
    <t>Lines</t>
  </si>
  <si>
    <t>From SAC</t>
  </si>
  <si>
    <t>Water Line Half Breadths (m)</t>
  </si>
  <si>
    <t>A</t>
  </si>
  <si>
    <t xml:space="preserve">            Bulbous bow</t>
  </si>
  <si>
    <t>Water Line half breadths (m)</t>
  </si>
  <si>
    <t>Water Line Data (Non-Dimensional)</t>
  </si>
  <si>
    <t>x/Lpp</t>
  </si>
  <si>
    <t>z/T</t>
  </si>
  <si>
    <t>Excel Lines Drawing: Frame Sections</t>
  </si>
  <si>
    <t>Non-dimensional Frame Sections</t>
  </si>
  <si>
    <t xml:space="preserve">         Stern-profile (transom)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</si>
</sst>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"/>
    <numFmt numFmtId="166" formatCode="0.000;\-0.00000;"/>
    <numFmt numFmtId="167" formatCode="0.0\ 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7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6" fontId="5" fillId="0" borderId="1" xfId="2" applyNumberFormat="1" applyFont="1" applyBorder="1" applyAlignment="1" applyProtection="1">
      <alignment horizontal="left"/>
      <protection hidden="1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/>
    <xf numFmtId="2" fontId="0" fillId="0" borderId="13" xfId="0" applyNumberFormat="1" applyBorder="1"/>
    <xf numFmtId="0" fontId="0" fillId="0" borderId="17" xfId="0" applyBorder="1"/>
    <xf numFmtId="0" fontId="0" fillId="0" borderId="18" xfId="0" applyBorder="1"/>
    <xf numFmtId="2" fontId="0" fillId="0" borderId="0" xfId="0" applyNumberForma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2" fillId="0" borderId="15" xfId="0" applyFont="1" applyBorder="1"/>
    <xf numFmtId="0" fontId="4" fillId="0" borderId="5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10" xfId="0" applyFont="1" applyBorder="1"/>
    <xf numFmtId="0" fontId="0" fillId="0" borderId="9" xfId="0" applyBorder="1" applyAlignment="1">
      <alignment horizontal="left"/>
    </xf>
    <xf numFmtId="0" fontId="12" fillId="0" borderId="10" xfId="0" applyFont="1" applyBorder="1"/>
    <xf numFmtId="0" fontId="12" fillId="0" borderId="11" xfId="0" applyFont="1" applyBorder="1"/>
    <xf numFmtId="0" fontId="0" fillId="0" borderId="13" xfId="0" applyBorder="1" applyAlignment="1">
      <alignment horizontal="left"/>
    </xf>
    <xf numFmtId="0" fontId="12" fillId="0" borderId="17" xfId="0" applyFont="1" applyBorder="1"/>
    <xf numFmtId="0" fontId="14" fillId="0" borderId="16" xfId="0" applyFont="1" applyBorder="1" applyAlignment="1">
      <alignment horizontal="center"/>
    </xf>
    <xf numFmtId="0" fontId="0" fillId="0" borderId="18" xfId="0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5" fillId="0" borderId="9" xfId="0" applyFont="1" applyBorder="1" applyAlignment="1">
      <alignment horizontal="left"/>
    </xf>
    <xf numFmtId="1" fontId="12" fillId="0" borderId="12" xfId="0" applyNumberFormat="1" applyFont="1" applyBorder="1" applyAlignment="1">
      <alignment horizontal="center"/>
    </xf>
    <xf numFmtId="0" fontId="0" fillId="0" borderId="20" xfId="0" applyBorder="1"/>
    <xf numFmtId="2" fontId="12" fillId="0" borderId="1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0" fontId="3" fillId="0" borderId="15" xfId="0" applyFont="1" applyBorder="1"/>
    <xf numFmtId="0" fontId="0" fillId="0" borderId="5" xfId="0" applyBorder="1" applyAlignment="1">
      <alignment horizontal="left"/>
    </xf>
    <xf numFmtId="166" fontId="5" fillId="0" borderId="9" xfId="2" applyNumberFormat="1" applyFont="1" applyBorder="1" applyAlignment="1" applyProtection="1">
      <alignment horizontal="center"/>
      <protection hidden="1"/>
    </xf>
    <xf numFmtId="165" fontId="5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 applyProtection="1">
      <alignment horizontal="center"/>
      <protection hidden="1"/>
    </xf>
    <xf numFmtId="2" fontId="0" fillId="0" borderId="9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5" xfId="0" applyFont="1" applyBorder="1" applyAlignment="1"/>
    <xf numFmtId="0" fontId="11" fillId="0" borderId="5" xfId="0" applyFont="1" applyBorder="1" applyAlignment="1"/>
    <xf numFmtId="0" fontId="0" fillId="0" borderId="22" xfId="0" applyBorder="1"/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3" fillId="0" borderId="5" xfId="0" applyFont="1" applyBorder="1"/>
    <xf numFmtId="3" fontId="0" fillId="0" borderId="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3" fontId="0" fillId="0" borderId="12" xfId="0" applyNumberFormat="1" applyBorder="1"/>
    <xf numFmtId="10" fontId="0" fillId="0" borderId="1" xfId="0" applyNumberFormat="1" applyBorder="1"/>
    <xf numFmtId="10" fontId="0" fillId="0" borderId="12" xfId="0" applyNumberFormat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5" fontId="8" fillId="0" borderId="25" xfId="0" applyNumberFormat="1" applyFont="1" applyBorder="1" applyAlignment="1" applyProtection="1">
      <alignment horizontal="center"/>
      <protection locked="0"/>
    </xf>
    <xf numFmtId="165" fontId="0" fillId="0" borderId="35" xfId="0" applyNumberForma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165" fontId="10" fillId="0" borderId="25" xfId="0" applyNumberFormat="1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0" fillId="2" borderId="23" xfId="0" applyFill="1" applyBorder="1"/>
    <xf numFmtId="2" fontId="0" fillId="2" borderId="23" xfId="0" applyNumberFormat="1" applyFill="1" applyBorder="1" applyAlignment="1">
      <alignment horizontal="center"/>
    </xf>
    <xf numFmtId="165" fontId="10" fillId="2" borderId="25" xfId="0" applyNumberFormat="1" applyFont="1" applyFill="1" applyBorder="1" applyAlignment="1" applyProtection="1">
      <alignment horizontal="center"/>
      <protection locked="0"/>
    </xf>
    <xf numFmtId="165" fontId="9" fillId="2" borderId="35" xfId="0" applyNumberFormat="1" applyFont="1" applyFill="1" applyBorder="1" applyAlignment="1" applyProtection="1">
      <alignment horizontal="center"/>
      <protection locked="0"/>
    </xf>
    <xf numFmtId="0" fontId="9" fillId="2" borderId="25" xfId="0" applyFont="1" applyFill="1" applyBorder="1" applyAlignment="1" applyProtection="1">
      <alignment horizontal="center"/>
      <protection locked="0"/>
    </xf>
    <xf numFmtId="0" fontId="9" fillId="2" borderId="26" xfId="0" applyFont="1" applyFill="1" applyBorder="1" applyAlignment="1" applyProtection="1">
      <alignment horizontal="center"/>
      <protection locked="0"/>
    </xf>
    <xf numFmtId="0" fontId="9" fillId="2" borderId="24" xfId="0" applyFont="1" applyFill="1" applyBorder="1" applyAlignment="1" applyProtection="1">
      <alignment horizontal="center"/>
      <protection locked="0"/>
    </xf>
    <xf numFmtId="0" fontId="10" fillId="2" borderId="24" xfId="0" applyFont="1" applyFill="1" applyBorder="1" applyAlignment="1" applyProtection="1">
      <alignment horizontal="center"/>
      <protection locked="0"/>
    </xf>
    <xf numFmtId="165" fontId="9" fillId="0" borderId="35" xfId="0" applyNumberFormat="1" applyFont="1" applyBorder="1" applyAlignment="1" applyProtection="1">
      <alignment horizontal="center"/>
      <protection locked="0"/>
    </xf>
    <xf numFmtId="0" fontId="0" fillId="0" borderId="36" xfId="0" applyBorder="1"/>
    <xf numFmtId="0" fontId="0" fillId="0" borderId="21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2" fontId="0" fillId="0" borderId="37" xfId="0" applyNumberFormat="1" applyBorder="1" applyAlignment="1">
      <alignment horizontal="center"/>
    </xf>
    <xf numFmtId="2" fontId="0" fillId="2" borderId="37" xfId="0" applyNumberForma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42" xfId="0" applyBorder="1"/>
    <xf numFmtId="2" fontId="0" fillId="0" borderId="42" xfId="0" applyNumberForma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32" xfId="0" applyBorder="1"/>
    <xf numFmtId="165" fontId="8" fillId="0" borderId="0" xfId="0" applyNumberFormat="1" applyFont="1" applyBorder="1" applyAlignment="1" applyProtection="1">
      <alignment horizontal="center"/>
      <protection locked="0"/>
    </xf>
    <xf numFmtId="165" fontId="8" fillId="2" borderId="0" xfId="0" applyNumberFormat="1" applyFont="1" applyFill="1" applyBorder="1" applyAlignment="1" applyProtection="1">
      <alignment horizontal="center"/>
      <protection locked="0"/>
    </xf>
    <xf numFmtId="0" fontId="0" fillId="0" borderId="45" xfId="0" applyBorder="1"/>
    <xf numFmtId="0" fontId="0" fillId="0" borderId="41" xfId="0" applyBorder="1"/>
    <xf numFmtId="2" fontId="0" fillId="0" borderId="21" xfId="0" applyNumberForma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0" fillId="0" borderId="46" xfId="0" applyBorder="1"/>
    <xf numFmtId="2" fontId="0" fillId="0" borderId="8" xfId="0" applyNumberFormat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2" fontId="0" fillId="0" borderId="14" xfId="0" applyNumberFormat="1" applyBorder="1"/>
    <xf numFmtId="0" fontId="11" fillId="0" borderId="12" xfId="0" applyFont="1" applyBorder="1"/>
    <xf numFmtId="0" fontId="11" fillId="0" borderId="13" xfId="0" applyFont="1" applyBorder="1"/>
    <xf numFmtId="0" fontId="0" fillId="3" borderId="40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9" xfId="0" applyFill="1" applyBorder="1"/>
    <xf numFmtId="10" fontId="0" fillId="3" borderId="1" xfId="0" applyNumberFormat="1" applyFill="1" applyBorder="1"/>
    <xf numFmtId="10" fontId="0" fillId="3" borderId="9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0" xfId="0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5" xfId="0" applyBorder="1" applyAlignment="1"/>
  </cellXfs>
  <cellStyles count="3">
    <cellStyle name="Comma" xfId="1" builtinId="3"/>
    <cellStyle name="Normal" xfId="0" builtinId="0"/>
    <cellStyle name="Normal_SEAKEY-laskelma_1" xfId="2" xr:uid="{453ABCE6-981A-4087-9C87-34C10FA46679}"/>
  </cellStyles>
  <dxfs count="0"/>
  <tableStyles count="0" defaultTableStyle="TableStyleMedium2" defaultPivotStyle="PivotStyleLight16"/>
  <colors>
    <mruColors>
      <color rgb="FFFD67E8"/>
      <color rgb="FF9A1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Recommended</a:t>
            </a:r>
            <a:r>
              <a:rPr lang="en-US" baseline="0"/>
              <a:t> Hull Coefficients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CB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'Main Data'!$P$4:$P$24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'Main Data'!$Q$4:$Q$24</c:f>
              <c:numCache>
                <c:formatCode>0.000</c:formatCode>
                <c:ptCount val="21"/>
                <c:pt idx="0">
                  <c:v>1</c:v>
                </c:pt>
                <c:pt idx="1">
                  <c:v>0.97499999999999998</c:v>
                </c:pt>
                <c:pt idx="2">
                  <c:v>0.93</c:v>
                </c:pt>
                <c:pt idx="3">
                  <c:v>0.85499999999999998</c:v>
                </c:pt>
                <c:pt idx="4">
                  <c:v>0.77200000000000002</c:v>
                </c:pt>
                <c:pt idx="5">
                  <c:v>0.68</c:v>
                </c:pt>
                <c:pt idx="6">
                  <c:v>0.6</c:v>
                </c:pt>
                <c:pt idx="7">
                  <c:v>0.53</c:v>
                </c:pt>
                <c:pt idx="8">
                  <c:v>0.47781865599999995</c:v>
                </c:pt>
                <c:pt idx="9">
                  <c:v>0.4402104962812502</c:v>
                </c:pt>
                <c:pt idx="10">
                  <c:v>0.41562812500000046</c:v>
                </c:pt>
                <c:pt idx="11">
                  <c:v>0.40280140684375054</c:v>
                </c:pt>
                <c:pt idx="12">
                  <c:v>0.39992054400000132</c:v>
                </c:pt>
                <c:pt idx="13">
                  <c:v>0.40491945990625167</c:v>
                </c:pt>
                <c:pt idx="14">
                  <c:v>0.41575918300000114</c:v>
                </c:pt>
                <c:pt idx="15">
                  <c:v>0.43071123046875093</c:v>
                </c:pt>
                <c:pt idx="16">
                  <c:v>0.44864099200000007</c:v>
                </c:pt>
                <c:pt idx="17">
                  <c:v>0.47</c:v>
                </c:pt>
                <c:pt idx="18">
                  <c:v>0.495</c:v>
                </c:pt>
                <c:pt idx="19">
                  <c:v>0.5252</c:v>
                </c:pt>
                <c:pt idx="20">
                  <c:v>0.56000000000000005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30-4C5C-9C26-C1D55E3DEF1A}"/>
            </c:ext>
          </c:extLst>
        </c:ser>
        <c:ser>
          <c:idx val="1"/>
          <c:order val="1"/>
          <c:tx>
            <c:v>CM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'Main Data'!$P$4:$P$24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'Main Data'!$R$4:$R$24</c:f>
              <c:numCache>
                <c:formatCode>0.000</c:formatCode>
                <c:ptCount val="21"/>
                <c:pt idx="0">
                  <c:v>1</c:v>
                </c:pt>
                <c:pt idx="1">
                  <c:v>0.999</c:v>
                </c:pt>
                <c:pt idx="2">
                  <c:v>0.998</c:v>
                </c:pt>
                <c:pt idx="3">
                  <c:v>0.996</c:v>
                </c:pt>
                <c:pt idx="4">
                  <c:v>0.99299999999999999</c:v>
                </c:pt>
                <c:pt idx="5">
                  <c:v>0.98499999999999999</c:v>
                </c:pt>
                <c:pt idx="6">
                  <c:v>0.96699999999999997</c:v>
                </c:pt>
                <c:pt idx="7">
                  <c:v>0.93</c:v>
                </c:pt>
                <c:pt idx="8">
                  <c:v>0.874</c:v>
                </c:pt>
                <c:pt idx="9">
                  <c:v>0.8</c:v>
                </c:pt>
                <c:pt idx="10">
                  <c:v>0.72499999999999998</c:v>
                </c:pt>
                <c:pt idx="11">
                  <c:v>0.66500000000000004</c:v>
                </c:pt>
                <c:pt idx="12">
                  <c:v>0.625</c:v>
                </c:pt>
                <c:pt idx="13">
                  <c:v>0.60699999999999998</c:v>
                </c:pt>
                <c:pt idx="14">
                  <c:v>0.6</c:v>
                </c:pt>
                <c:pt idx="15">
                  <c:v>0.60299999999999998</c:v>
                </c:pt>
                <c:pt idx="16">
                  <c:v>0.61199999999999999</c:v>
                </c:pt>
                <c:pt idx="17">
                  <c:v>0.627</c:v>
                </c:pt>
                <c:pt idx="18">
                  <c:v>0.64700000000000002</c:v>
                </c:pt>
                <c:pt idx="19">
                  <c:v>0.67200000000000004</c:v>
                </c:pt>
                <c:pt idx="20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30-4C5C-9C26-C1D55E3DEF1A}"/>
            </c:ext>
          </c:extLst>
        </c:ser>
        <c:ser>
          <c:idx val="2"/>
          <c:order val="2"/>
          <c:tx>
            <c:v>CP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'Main Data'!$P$4:$P$24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'Main Data'!$S$4:$S$24</c:f>
              <c:numCache>
                <c:formatCode>0.000</c:formatCode>
                <c:ptCount val="21"/>
                <c:pt idx="0">
                  <c:v>1</c:v>
                </c:pt>
                <c:pt idx="1">
                  <c:v>0.97597597597597596</c:v>
                </c:pt>
                <c:pt idx="2">
                  <c:v>0.93186372745490986</c:v>
                </c:pt>
                <c:pt idx="3">
                  <c:v>0.85843373493975905</c:v>
                </c:pt>
                <c:pt idx="4">
                  <c:v>0.77744209466263847</c:v>
                </c:pt>
                <c:pt idx="5">
                  <c:v>0.69035532994923865</c:v>
                </c:pt>
                <c:pt idx="6">
                  <c:v>0.62047569803516034</c:v>
                </c:pt>
                <c:pt idx="7">
                  <c:v>0.56989247311827962</c:v>
                </c:pt>
                <c:pt idx="8">
                  <c:v>0.54670326773455369</c:v>
                </c:pt>
                <c:pt idx="9">
                  <c:v>0.55026312035156266</c:v>
                </c:pt>
                <c:pt idx="10">
                  <c:v>0.57328017241379381</c:v>
                </c:pt>
                <c:pt idx="11">
                  <c:v>0.60571640126879778</c:v>
                </c:pt>
                <c:pt idx="12">
                  <c:v>0.63987287040000207</c:v>
                </c:pt>
                <c:pt idx="13">
                  <c:v>0.6670831299938248</c:v>
                </c:pt>
                <c:pt idx="14">
                  <c:v>0.69293197166666864</c:v>
                </c:pt>
                <c:pt idx="15">
                  <c:v>0.71428064754353393</c:v>
                </c:pt>
                <c:pt idx="16">
                  <c:v>0.73307351633986939</c:v>
                </c:pt>
                <c:pt idx="17">
                  <c:v>0.74960127591706538</c:v>
                </c:pt>
                <c:pt idx="18">
                  <c:v>0.7650695517774343</c:v>
                </c:pt>
                <c:pt idx="19">
                  <c:v>0.78154761904761905</c:v>
                </c:pt>
                <c:pt idx="20">
                  <c:v>0.80000000000000016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30-4C5C-9C26-C1D55E3DEF1A}"/>
            </c:ext>
          </c:extLst>
        </c:ser>
        <c:ser>
          <c:idx val="3"/>
          <c:order val="3"/>
          <c:tx>
            <c:v>CW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'Main Data'!$P$4:$P$24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'Main Data'!$T$4:$T$24</c:f>
              <c:numCache>
                <c:formatCode>0.000</c:formatCode>
                <c:ptCount val="21"/>
                <c:pt idx="0">
                  <c:v>1</c:v>
                </c:pt>
                <c:pt idx="1">
                  <c:v>0.98</c:v>
                </c:pt>
                <c:pt idx="2">
                  <c:v>0.95</c:v>
                </c:pt>
                <c:pt idx="3">
                  <c:v>0.91</c:v>
                </c:pt>
                <c:pt idx="4">
                  <c:v>0.87</c:v>
                </c:pt>
                <c:pt idx="5">
                  <c:v>0.83499999999999996</c:v>
                </c:pt>
                <c:pt idx="6">
                  <c:v>0.81</c:v>
                </c:pt>
                <c:pt idx="7">
                  <c:v>0.79400000000000004</c:v>
                </c:pt>
                <c:pt idx="8">
                  <c:v>0.78</c:v>
                </c:pt>
                <c:pt idx="9">
                  <c:v>0.76900000000000002</c:v>
                </c:pt>
                <c:pt idx="10">
                  <c:v>0.75900000000000001</c:v>
                </c:pt>
                <c:pt idx="11">
                  <c:v>0.75</c:v>
                </c:pt>
                <c:pt idx="12">
                  <c:v>0.74199999999999999</c:v>
                </c:pt>
                <c:pt idx="13">
                  <c:v>0.73599999999999999</c:v>
                </c:pt>
                <c:pt idx="14">
                  <c:v>0.73</c:v>
                </c:pt>
                <c:pt idx="15">
                  <c:v>0.72599999999999998</c:v>
                </c:pt>
                <c:pt idx="16">
                  <c:v>0.72299999999999998</c:v>
                </c:pt>
                <c:pt idx="17">
                  <c:v>0.72</c:v>
                </c:pt>
                <c:pt idx="18">
                  <c:v>0.71799999999999997</c:v>
                </c:pt>
                <c:pt idx="19">
                  <c:v>0.71599999999999997</c:v>
                </c:pt>
                <c:pt idx="20">
                  <c:v>0.71399999999999997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30-4C5C-9C26-C1D55E3DE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176784"/>
        <c:axId val="704175504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'Main Data'!$C$19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0.13149346117861591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'Main Data'!$C$28</c15:sqref>
                        </c15:formulaRef>
                      </c:ext>
                    </c:extLst>
                    <c:numCache>
                      <c:formatCode>0.000</c:formatCode>
                      <c:ptCount val="1"/>
                      <c:pt idx="0">
                        <c:v>0.61980737179487166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1330-4C5C-9C26-C1D55E3DEF1A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Data'!$C$19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0.13149346117861591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Data'!$C$31</c15:sqref>
                        </c15:formulaRef>
                      </c:ext>
                    </c:extLst>
                    <c:numCache>
                      <c:formatCode>0.000</c:formatCode>
                      <c:ptCount val="1"/>
                      <c:pt idx="0">
                        <c:v>0.98099999999999987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30-4C5C-9C26-C1D55E3DEF1A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Data'!$C$19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0.13149346117861591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Data'!$C$33</c15:sqref>
                        </c15:formulaRef>
                      </c:ext>
                    </c:extLst>
                    <c:numCache>
                      <c:formatCode>0.000</c:formatCode>
                      <c:ptCount val="1"/>
                      <c:pt idx="0">
                        <c:v>0.63181179591730041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30-4C5C-9C26-C1D55E3DEF1A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8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Data'!$C$19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0.13149346117861591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Data'!$C$36</c15:sqref>
                        </c15:formulaRef>
                      </c:ext>
                    </c:extLst>
                    <c:numCache>
                      <c:formatCode>0.000</c:formatCode>
                      <c:ptCount val="1"/>
                      <c:pt idx="0">
                        <c:v>0.85066666666666668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30-4C5C-9C26-C1D55E3DEF1A}"/>
                  </c:ext>
                </c:extLst>
              </c15:ser>
            </c15:filteredScatterSeries>
          </c:ext>
        </c:extLst>
      </c:scatterChart>
      <c:valAx>
        <c:axId val="704176784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</a:t>
                </a:r>
                <a:r>
                  <a:rPr lang="en-US" baseline="0"/>
                  <a:t> no.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175504"/>
        <c:crosses val="autoZero"/>
        <c:crossBetween val="midCat"/>
      </c:valAx>
      <c:valAx>
        <c:axId val="704175504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CP,CB,CM,CW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176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Form!$V$4</c:f>
              <c:strCache>
                <c:ptCount val="1"/>
                <c:pt idx="0">
                  <c:v>Upper Dk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Form!$W$4:$W$5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Form!$X$4:$X$5</c:f>
              <c:numCache>
                <c:formatCode>0.00</c:formatCode>
                <c:ptCount val="2"/>
                <c:pt idx="0">
                  <c:v>2.5454545454545454</c:v>
                </c:pt>
                <c:pt idx="1">
                  <c:v>2.5454545454545454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57-4B49-B611-370D21CF226E}"/>
            </c:ext>
          </c:extLst>
        </c:ser>
        <c:ser>
          <c:idx val="1"/>
          <c:order val="1"/>
          <c:tx>
            <c:strRef>
              <c:f>Form!$V$6</c:f>
              <c:strCache>
                <c:ptCount val="1"/>
                <c:pt idx="0">
                  <c:v>WL 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Form!$W$6:$W$7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Form!$X$6:$X$7</c:f>
              <c:numCache>
                <c:formatCode>0.00</c:formatCode>
                <c:ptCount val="2"/>
                <c:pt idx="0">
                  <c:v>2.1590909090909092</c:v>
                </c:pt>
                <c:pt idx="1">
                  <c:v>2.1590909090909092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57-4B49-B611-370D21CF226E}"/>
            </c:ext>
          </c:extLst>
        </c:ser>
        <c:ser>
          <c:idx val="2"/>
          <c:order val="2"/>
          <c:tx>
            <c:strRef>
              <c:f>Form!$V$8</c:f>
              <c:strCache>
                <c:ptCount val="1"/>
                <c:pt idx="0">
                  <c:v>WL 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Form!$W$8:$W$9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Form!$X$8:$X$9</c:f>
              <c:numCache>
                <c:formatCode>0.00</c:formatCode>
                <c:ptCount val="2"/>
                <c:pt idx="0">
                  <c:v>1.7727272727272727</c:v>
                </c:pt>
                <c:pt idx="1">
                  <c:v>1.7727272727272727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357-4B49-B611-370D21CF226E}"/>
            </c:ext>
          </c:extLst>
        </c:ser>
        <c:ser>
          <c:idx val="3"/>
          <c:order val="3"/>
          <c:tx>
            <c:strRef>
              <c:f>Form!$V$10</c:f>
              <c:strCache>
                <c:ptCount val="1"/>
                <c:pt idx="0">
                  <c:v>WL 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Form!$W$10:$W$11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Form!$X$10:$X$11</c:f>
              <c:numCache>
                <c:formatCode>0.00</c:formatCode>
                <c:ptCount val="2"/>
                <c:pt idx="0">
                  <c:v>1.3863636363636362</c:v>
                </c:pt>
                <c:pt idx="1">
                  <c:v>1.3863636363636362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357-4B49-B611-370D21CF226E}"/>
            </c:ext>
          </c:extLst>
        </c:ser>
        <c:ser>
          <c:idx val="4"/>
          <c:order val="4"/>
          <c:tx>
            <c:strRef>
              <c:f>Form!$V$12</c:f>
              <c:strCache>
                <c:ptCount val="1"/>
                <c:pt idx="0">
                  <c:v>CWL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Form!$W$12:$W$13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Form!$X$12:$X$13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357-4B49-B611-370D21CF226E}"/>
            </c:ext>
          </c:extLst>
        </c:ser>
        <c:ser>
          <c:idx val="5"/>
          <c:order val="5"/>
          <c:tx>
            <c:strRef>
              <c:f>Form!$V$14</c:f>
              <c:strCache>
                <c:ptCount val="1"/>
                <c:pt idx="0">
                  <c:v>WL 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Form!$W$14:$W$15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Form!$X$14:$X$15</c:f>
              <c:numCache>
                <c:formatCode>0.00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357-4B49-B611-370D21CF226E}"/>
            </c:ext>
          </c:extLst>
        </c:ser>
        <c:ser>
          <c:idx val="6"/>
          <c:order val="6"/>
          <c:tx>
            <c:strRef>
              <c:f>Form!$V$16</c:f>
              <c:strCache>
                <c:ptCount val="1"/>
                <c:pt idx="0">
                  <c:v>WL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Form!$W$16:$W$17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Form!$X$16:$X$17</c:f>
              <c:numCache>
                <c:formatCode>0.00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357-4B49-B611-370D21CF226E}"/>
            </c:ext>
          </c:extLst>
        </c:ser>
        <c:ser>
          <c:idx val="7"/>
          <c:order val="7"/>
          <c:tx>
            <c:strRef>
              <c:f>Form!$V$18</c:f>
              <c:strCache>
                <c:ptCount val="1"/>
                <c:pt idx="0">
                  <c:v>WL 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Form!$W$18:$W$19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Form!$X$18:$X$19</c:f>
              <c:numCache>
                <c:formatCode>0.00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357-4B49-B611-370D21CF226E}"/>
            </c:ext>
          </c:extLst>
        </c:ser>
        <c:ser>
          <c:idx val="8"/>
          <c:order val="8"/>
          <c:tx>
            <c:strRef>
              <c:f>Form!$V$20</c:f>
              <c:strCache>
                <c:ptCount val="1"/>
                <c:pt idx="0">
                  <c:v>WL 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Form!$W$20:$W$21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Form!$X$20:$X$21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357-4B49-B611-370D21CF226E}"/>
            </c:ext>
          </c:extLst>
        </c:ser>
        <c:ser>
          <c:idx val="9"/>
          <c:order val="9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'Offset Tables'!$D$30:$D$34</c:f>
              <c:numCache>
                <c:formatCode>0.000</c:formatCode>
                <c:ptCount val="5"/>
                <c:pt idx="0">
                  <c:v>-0.04</c:v>
                </c:pt>
                <c:pt idx="1">
                  <c:v>-3.7999999999999999E-2</c:v>
                </c:pt>
                <c:pt idx="2">
                  <c:v>-3.5000000000000003E-2</c:v>
                </c:pt>
                <c:pt idx="3">
                  <c:v>-0.03</c:v>
                </c:pt>
                <c:pt idx="4">
                  <c:v>-2.5000000000000001E-2</c:v>
                </c:pt>
              </c:numCache>
            </c:numRef>
          </c:xVal>
          <c:yVal>
            <c:numRef>
              <c:f>'Offset Tables'!$C$30:$C$34</c:f>
              <c:numCache>
                <c:formatCode>0.00</c:formatCode>
                <c:ptCount val="5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357-4B49-B611-370D21CF226E}"/>
            </c:ext>
          </c:extLst>
        </c:ser>
        <c:ser>
          <c:idx val="10"/>
          <c:order val="10"/>
          <c:spPr>
            <a:ln w="28575" cap="rnd">
              <a:solidFill>
                <a:srgbClr val="FD67E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D67E8"/>
              </a:solidFill>
              <a:ln w="9525">
                <a:solidFill>
                  <a:srgbClr val="FD67E8"/>
                </a:solidFill>
              </a:ln>
              <a:effectLst/>
            </c:spPr>
          </c:marker>
          <c:xVal>
            <c:numRef>
              <c:f>'Offset Tables'!$D$34:$D$40</c:f>
              <c:numCache>
                <c:formatCode>0.000</c:formatCode>
                <c:ptCount val="7"/>
                <c:pt idx="0">
                  <c:v>-2.5000000000000001E-2</c:v>
                </c:pt>
                <c:pt idx="1">
                  <c:v>3.2000000000000001E-2</c:v>
                </c:pt>
                <c:pt idx="2">
                  <c:v>3.7999999999999999E-2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</c:numCache>
            </c:numRef>
          </c:xVal>
          <c:yVal>
            <c:numRef>
              <c:f>'Offset Tables'!$C$34:$C$40</c:f>
              <c:numCache>
                <c:formatCode>0.00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0.1</c:v>
                </c:pt>
                <c:pt idx="6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357-4B49-B611-370D21CF226E}"/>
            </c:ext>
          </c:extLst>
        </c:ser>
        <c:ser>
          <c:idx val="11"/>
          <c:order val="1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'Offset Tables'!$F$34:$F$41</c:f>
              <c:numCache>
                <c:formatCode>0.000</c:formatCode>
                <c:ptCount val="8"/>
                <c:pt idx="0">
                  <c:v>-2.5000000000000001E-2</c:v>
                </c:pt>
                <c:pt idx="1">
                  <c:v>0.04</c:v>
                </c:pt>
                <c:pt idx="2">
                  <c:v>0.09</c:v>
                </c:pt>
                <c:pt idx="3">
                  <c:v>0.12</c:v>
                </c:pt>
                <c:pt idx="4">
                  <c:v>0.15</c:v>
                </c:pt>
                <c:pt idx="5">
                  <c:v>0.17</c:v>
                </c:pt>
                <c:pt idx="6">
                  <c:v>0.2</c:v>
                </c:pt>
                <c:pt idx="7">
                  <c:v>0.22</c:v>
                </c:pt>
              </c:numCache>
            </c:numRef>
          </c:xVal>
          <c:yVal>
            <c:numRef>
              <c:f>'Offset Tables'!$C$34:$C$41</c:f>
              <c:numCache>
                <c:formatCode>0.00</c:formatCode>
                <c:ptCount val="8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0.1</c:v>
                </c:pt>
                <c:pt idx="6">
                  <c:v>0.01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357-4B49-B611-370D21CF226E}"/>
            </c:ext>
          </c:extLst>
        </c:ser>
        <c:ser>
          <c:idx val="12"/>
          <c:order val="12"/>
          <c:spPr>
            <a:ln w="28575" cap="rnd">
              <a:solidFill>
                <a:srgbClr val="FD67E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D67E8"/>
              </a:solidFill>
              <a:ln w="9525">
                <a:solidFill>
                  <a:srgbClr val="FD67E8"/>
                </a:solidFill>
              </a:ln>
              <a:effectLst/>
            </c:spPr>
          </c:marker>
          <c:xVal>
            <c:numRef>
              <c:f>'Offset Tables'!$R$30:$R$41</c:f>
              <c:numCache>
                <c:formatCode>0.000</c:formatCode>
                <c:ptCount val="12"/>
                <c:pt idx="0">
                  <c:v>1.03</c:v>
                </c:pt>
                <c:pt idx="1">
                  <c:v>1.022</c:v>
                </c:pt>
                <c:pt idx="2">
                  <c:v>1.0129999999999999</c:v>
                </c:pt>
                <c:pt idx="3">
                  <c:v>1.006</c:v>
                </c:pt>
                <c:pt idx="4">
                  <c:v>1</c:v>
                </c:pt>
                <c:pt idx="5">
                  <c:v>1</c:v>
                </c:pt>
                <c:pt idx="6">
                  <c:v>1.008</c:v>
                </c:pt>
                <c:pt idx="7">
                  <c:v>1.0149999999999999</c:v>
                </c:pt>
                <c:pt idx="8">
                  <c:v>1.0149999999999999</c:v>
                </c:pt>
                <c:pt idx="9">
                  <c:v>1.0129999999999999</c:v>
                </c:pt>
                <c:pt idx="10">
                  <c:v>1</c:v>
                </c:pt>
                <c:pt idx="11">
                  <c:v>0.98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4357-4B49-B611-370D21CF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533712"/>
        <c:axId val="251535632"/>
      </c:scatterChart>
      <c:valAx>
        <c:axId val="251533712"/>
        <c:scaling>
          <c:orientation val="minMax"/>
          <c:max val="1.100000000000000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x/Lpp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535632"/>
        <c:crosses val="autoZero"/>
        <c:crossBetween val="midCat"/>
        <c:majorUnit val="0.1"/>
      </c:valAx>
      <c:valAx>
        <c:axId val="251535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z/T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533712"/>
        <c:crossesAt val="-1"/>
        <c:crossBetween val="midCat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Non-dimensional</a:t>
            </a:r>
            <a:r>
              <a:rPr lang="en-US" b="1" baseline="0"/>
              <a:t> waterlines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'Offset Tables'!$B$41</c:f>
              <c:strCache>
                <c:ptCount val="1"/>
                <c:pt idx="0">
                  <c:v>Flat Bottom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'Offset Tables'!$G$29:$Q$29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'Offset Tables'!$G$41:$Q$41</c:f>
              <c:numCache>
                <c:formatCode>General</c:formatCode>
                <c:ptCount val="11"/>
                <c:pt idx="0">
                  <c:v>-2</c:v>
                </c:pt>
                <c:pt idx="1">
                  <c:v>-1</c:v>
                </c:pt>
                <c:pt idx="2">
                  <c:v>-0.2</c:v>
                </c:pt>
                <c:pt idx="3">
                  <c:v>0.45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  <c:pt idx="7">
                  <c:v>0.35</c:v>
                </c:pt>
                <c:pt idx="8">
                  <c:v>0.13</c:v>
                </c:pt>
                <c:pt idx="9">
                  <c:v>0.01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C7-48ED-8506-6F31E3B124FA}"/>
            </c:ext>
          </c:extLst>
        </c:ser>
        <c:ser>
          <c:idx val="1"/>
          <c:order val="1"/>
          <c:tx>
            <c:strRef>
              <c:f>'Offset Tables'!$B$39</c:f>
              <c:strCache>
                <c:ptCount val="1"/>
                <c:pt idx="0">
                  <c:v>WL 1/2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'Offset Tables'!$G$29:$Q$29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'Offset Tables'!$G$39:$Q$39</c:f>
              <c:numCache>
                <c:formatCode>General</c:formatCode>
                <c:ptCount val="11"/>
                <c:pt idx="0">
                  <c:v>-2</c:v>
                </c:pt>
                <c:pt idx="1">
                  <c:v>-0.7</c:v>
                </c:pt>
                <c:pt idx="2">
                  <c:v>0.13</c:v>
                </c:pt>
                <c:pt idx="3">
                  <c:v>0.67</c:v>
                </c:pt>
                <c:pt idx="4">
                  <c:v>0.93</c:v>
                </c:pt>
                <c:pt idx="5">
                  <c:v>0.93</c:v>
                </c:pt>
                <c:pt idx="6">
                  <c:v>0.8</c:v>
                </c:pt>
                <c:pt idx="7">
                  <c:v>0.55000000000000004</c:v>
                </c:pt>
                <c:pt idx="8">
                  <c:v>0.28000000000000003</c:v>
                </c:pt>
                <c:pt idx="9">
                  <c:v>0.08</c:v>
                </c:pt>
                <c:pt idx="10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7C7-48ED-8506-6F31E3B124FA}"/>
            </c:ext>
          </c:extLst>
        </c:ser>
        <c:ser>
          <c:idx val="2"/>
          <c:order val="2"/>
          <c:tx>
            <c:strRef>
              <c:f>'Offset Tables'!$B$38</c:f>
              <c:strCache>
                <c:ptCount val="1"/>
                <c:pt idx="0">
                  <c:v>WL 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'Offset Tables'!$G$29:$Q$29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'Offset Tables'!$G$38:$Q$38</c:f>
              <c:numCache>
                <c:formatCode>General</c:formatCode>
                <c:ptCount val="11"/>
                <c:pt idx="0">
                  <c:v>-2</c:v>
                </c:pt>
                <c:pt idx="1">
                  <c:v>-0.5</c:v>
                </c:pt>
                <c:pt idx="2">
                  <c:v>0.33</c:v>
                </c:pt>
                <c:pt idx="3">
                  <c:v>0.8</c:v>
                </c:pt>
                <c:pt idx="4">
                  <c:v>0.97</c:v>
                </c:pt>
                <c:pt idx="5">
                  <c:v>0.97</c:v>
                </c:pt>
                <c:pt idx="6">
                  <c:v>0.88</c:v>
                </c:pt>
                <c:pt idx="7">
                  <c:v>0.69</c:v>
                </c:pt>
                <c:pt idx="8">
                  <c:v>0.4</c:v>
                </c:pt>
                <c:pt idx="9">
                  <c:v>0.14000000000000001</c:v>
                </c:pt>
                <c:pt idx="10">
                  <c:v>0.06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7C7-48ED-8506-6F31E3B124FA}"/>
            </c:ext>
          </c:extLst>
        </c:ser>
        <c:ser>
          <c:idx val="3"/>
          <c:order val="3"/>
          <c:tx>
            <c:strRef>
              <c:f>'Offset Tables'!$B$37</c:f>
              <c:strCache>
                <c:ptCount val="1"/>
                <c:pt idx="0">
                  <c:v>WL 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'Offset Tables'!$G$29:$Q$29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'Offset Tables'!$G$37:$Q$37</c:f>
              <c:numCache>
                <c:formatCode>General</c:formatCode>
                <c:ptCount val="11"/>
                <c:pt idx="0">
                  <c:v>-2</c:v>
                </c:pt>
                <c:pt idx="1">
                  <c:v>-0.2</c:v>
                </c:pt>
                <c:pt idx="2">
                  <c:v>0.57999999999999996</c:v>
                </c:pt>
                <c:pt idx="3">
                  <c:v>0.93</c:v>
                </c:pt>
                <c:pt idx="4">
                  <c:v>0.995</c:v>
                </c:pt>
                <c:pt idx="5">
                  <c:v>0.995</c:v>
                </c:pt>
                <c:pt idx="6">
                  <c:v>0.96</c:v>
                </c:pt>
                <c:pt idx="7">
                  <c:v>0.82</c:v>
                </c:pt>
                <c:pt idx="8">
                  <c:v>0.56000000000000005</c:v>
                </c:pt>
                <c:pt idx="9">
                  <c:v>0.24</c:v>
                </c:pt>
                <c:pt idx="10">
                  <c:v>7.0000000000000007E-2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7C7-48ED-8506-6F31E3B124FA}"/>
            </c:ext>
          </c:extLst>
        </c:ser>
        <c:ser>
          <c:idx val="4"/>
          <c:order val="4"/>
          <c:tx>
            <c:strRef>
              <c:f>'Offset Tables'!$B$36</c:f>
              <c:strCache>
                <c:ptCount val="1"/>
                <c:pt idx="0">
                  <c:v>WL 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'Offset Tables'!$G$29:$Q$29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'Offset Tables'!$G$36:$Q$36</c:f>
              <c:numCache>
                <c:formatCode>General</c:formatCode>
                <c:ptCount val="11"/>
                <c:pt idx="0">
                  <c:v>-1</c:v>
                </c:pt>
                <c:pt idx="1">
                  <c:v>0.2</c:v>
                </c:pt>
                <c:pt idx="2">
                  <c:v>0.8</c:v>
                </c:pt>
                <c:pt idx="3">
                  <c:v>0.98</c:v>
                </c:pt>
                <c:pt idx="4">
                  <c:v>1</c:v>
                </c:pt>
                <c:pt idx="5">
                  <c:v>1</c:v>
                </c:pt>
                <c:pt idx="6">
                  <c:v>0.99</c:v>
                </c:pt>
                <c:pt idx="7">
                  <c:v>0.9</c:v>
                </c:pt>
                <c:pt idx="8">
                  <c:v>0.67</c:v>
                </c:pt>
                <c:pt idx="9">
                  <c:v>0.33</c:v>
                </c:pt>
                <c:pt idx="10">
                  <c:v>0.06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7C7-48ED-8506-6F31E3B124FA}"/>
            </c:ext>
          </c:extLst>
        </c:ser>
        <c:ser>
          <c:idx val="5"/>
          <c:order val="5"/>
          <c:tx>
            <c:strRef>
              <c:f>'Offset Tables'!$B$35</c:f>
              <c:strCache>
                <c:ptCount val="1"/>
                <c:pt idx="0">
                  <c:v>WL 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'Offset Tables'!$G$29:$Q$29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'Offset Tables'!$G$35:$Q$35</c:f>
              <c:numCache>
                <c:formatCode>General</c:formatCode>
                <c:ptCount val="11"/>
                <c:pt idx="0">
                  <c:v>-0.4</c:v>
                </c:pt>
                <c:pt idx="1">
                  <c:v>0.65</c:v>
                </c:pt>
                <c:pt idx="2">
                  <c:v>0.93</c:v>
                </c:pt>
                <c:pt idx="3">
                  <c:v>0.997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0.95</c:v>
                </c:pt>
                <c:pt idx="8">
                  <c:v>0.76</c:v>
                </c:pt>
                <c:pt idx="9">
                  <c:v>0.41</c:v>
                </c:pt>
                <c:pt idx="10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7C7-48ED-8506-6F31E3B124FA}"/>
            </c:ext>
          </c:extLst>
        </c:ser>
        <c:ser>
          <c:idx val="7"/>
          <c:order val="6"/>
          <c:tx>
            <c:strRef>
              <c:f>'Offset Tables'!$B$34</c:f>
              <c:strCache>
                <c:ptCount val="1"/>
                <c:pt idx="0">
                  <c:v>CWL 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39-4E04-86C3-71AC6052F057}"/>
              </c:ext>
            </c:extLst>
          </c:dPt>
          <c:xVal>
            <c:numRef>
              <c:f>('Offset Tables'!$D$34,'Offset Tables'!$G$29:$Q$29)</c:f>
              <c:numCache>
                <c:formatCode>General</c:formatCode>
                <c:ptCount val="12"/>
                <c:pt idx="0" formatCode="0.000">
                  <c:v>-2.5000000000000001E-2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('Offset Tables'!$E$34,'Offset Tables'!$G$34:$Q$34)</c:f>
              <c:numCache>
                <c:formatCode>General</c:formatCode>
                <c:ptCount val="12"/>
                <c:pt idx="0" formatCode="0.000">
                  <c:v>0</c:v>
                </c:pt>
                <c:pt idx="1">
                  <c:v>0.4</c:v>
                </c:pt>
                <c:pt idx="2">
                  <c:v>0.87</c:v>
                </c:pt>
                <c:pt idx="3">
                  <c:v>0.98499999999999999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0.98</c:v>
                </c:pt>
                <c:pt idx="9">
                  <c:v>0.82</c:v>
                </c:pt>
                <c:pt idx="10">
                  <c:v>0.49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7C7-48ED-8506-6F31E3B124FA}"/>
            </c:ext>
          </c:extLst>
        </c:ser>
        <c:ser>
          <c:idx val="8"/>
          <c:order val="7"/>
          <c:tx>
            <c:strRef>
              <c:f>'Offset Tables'!$B$33</c:f>
              <c:strCache>
                <c:ptCount val="1"/>
                <c:pt idx="0">
                  <c:v>WL 6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('Offset Tables'!$D$33,'Offset Tables'!$G$29:$Q$29)</c:f>
              <c:numCache>
                <c:formatCode>General</c:formatCode>
                <c:ptCount val="12"/>
                <c:pt idx="0" formatCode="0.000">
                  <c:v>-0.03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('Offset Tables'!$E$33,'Offset Tables'!$G$33:$Q$33)</c:f>
              <c:numCache>
                <c:formatCode>General</c:formatCode>
                <c:ptCount val="12"/>
                <c:pt idx="0" formatCode="0.000">
                  <c:v>0.75</c:v>
                </c:pt>
                <c:pt idx="1">
                  <c:v>0.84</c:v>
                </c:pt>
                <c:pt idx="2">
                  <c:v>0.97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</c:v>
                </c:pt>
                <c:pt idx="10">
                  <c:v>0.63</c:v>
                </c:pt>
                <c:pt idx="11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7C7-48ED-8506-6F31E3B124FA}"/>
            </c:ext>
          </c:extLst>
        </c:ser>
        <c:ser>
          <c:idx val="9"/>
          <c:order val="8"/>
          <c:tx>
            <c:strRef>
              <c:f>'Offset Tables'!$B$32</c:f>
              <c:strCache>
                <c:ptCount val="1"/>
                <c:pt idx="0">
                  <c:v>WL 7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('Offset Tables'!$D$32,'Offset Tables'!$G$29:$Q$29)</c:f>
              <c:numCache>
                <c:formatCode>General</c:formatCode>
                <c:ptCount val="12"/>
                <c:pt idx="0" formatCode="0.000">
                  <c:v>-3.5000000000000003E-2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('Offset Tables'!$E$32,'Offset Tables'!$G$32:$Q$32)</c:f>
              <c:numCache>
                <c:formatCode>General</c:formatCode>
                <c:ptCount val="12"/>
                <c:pt idx="0" formatCode="0.000">
                  <c:v>0.91</c:v>
                </c:pt>
                <c:pt idx="1">
                  <c:v>0.96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0.96</c:v>
                </c:pt>
                <c:pt idx="10">
                  <c:v>0.74</c:v>
                </c:pt>
                <c:pt idx="11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37C7-48ED-8506-6F31E3B124FA}"/>
            </c:ext>
          </c:extLst>
        </c:ser>
        <c:ser>
          <c:idx val="6"/>
          <c:order val="9"/>
          <c:tx>
            <c:strRef>
              <c:f>'Offset Tables'!$B$31</c:f>
              <c:strCache>
                <c:ptCount val="1"/>
                <c:pt idx="0">
                  <c:v>WL 8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('Offset Tables'!$D$31,'Offset Tables'!$G$29:$Q$29)</c:f>
              <c:numCache>
                <c:formatCode>General</c:formatCode>
                <c:ptCount val="12"/>
                <c:pt idx="0" formatCode="0.000">
                  <c:v>-3.7999999999999999E-2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('Offset Tables'!$E$31,'Offset Tables'!$G$31:$Q$31)</c:f>
              <c:numCache>
                <c:formatCode>General</c:formatCode>
                <c:ptCount val="12"/>
                <c:pt idx="0" formatCode="0.000">
                  <c:v>0.94</c:v>
                </c:pt>
                <c:pt idx="1">
                  <c:v>0.98699999999999999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</c:v>
                </c:pt>
                <c:pt idx="10">
                  <c:v>0.82</c:v>
                </c:pt>
                <c:pt idx="11">
                  <c:v>0.35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37C7-48ED-8506-6F31E3B124FA}"/>
            </c:ext>
          </c:extLst>
        </c:ser>
        <c:ser>
          <c:idx val="10"/>
          <c:order val="10"/>
          <c:tx>
            <c:strRef>
              <c:f>'Offset Tables'!$B$30</c:f>
              <c:strCache>
                <c:ptCount val="1"/>
                <c:pt idx="0">
                  <c:v>Upper Dk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('Offset Tables'!$D$30,'Offset Tables'!$G$29:$Q$29)</c:f>
              <c:numCache>
                <c:formatCode>General</c:formatCode>
                <c:ptCount val="12"/>
                <c:pt idx="0" formatCode="0.000">
                  <c:v>-0.04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numCache>
            </c:numRef>
          </c:xVal>
          <c:yVal>
            <c:numRef>
              <c:f>('Offset Tables'!$E$30,'Offset Tables'!$G$30:$Q$30)</c:f>
              <c:numCache>
                <c:formatCode>General</c:formatCode>
                <c:ptCount val="12"/>
                <c:pt idx="0" formatCode="0.000">
                  <c:v>0.95</c:v>
                </c:pt>
                <c:pt idx="1">
                  <c:v>0.99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0.89</c:v>
                </c:pt>
                <c:pt idx="1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37C7-48ED-8506-6F31E3B12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399608"/>
        <c:axId val="1072401208"/>
      </c:scatterChart>
      <c:valAx>
        <c:axId val="1072399608"/>
        <c:scaling>
          <c:orientation val="minMax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x/Lpp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01208"/>
        <c:crosses val="autoZero"/>
        <c:crossBetween val="midCat"/>
      </c:valAx>
      <c:valAx>
        <c:axId val="10724012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y/</a:t>
                </a:r>
                <a:r>
                  <a:rPr lang="en-US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B/2</a:t>
                </a:r>
                <a:endParaRPr 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99608"/>
        <c:crossesAt val="-0.1"/>
        <c:crossBetween val="midCat"/>
        <c:majorUnit val="0.2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Form!$V$4</c:f>
              <c:strCache>
                <c:ptCount val="1"/>
                <c:pt idx="0">
                  <c:v>Upper Dk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Form!$W$4:$W$5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Form!$X$4:$X$5</c:f>
              <c:numCache>
                <c:formatCode>0.00</c:formatCode>
                <c:ptCount val="2"/>
                <c:pt idx="0">
                  <c:v>2.5454545454545454</c:v>
                </c:pt>
                <c:pt idx="1">
                  <c:v>2.5454545454545454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97-46CF-8FFA-1A1510A6200E}"/>
            </c:ext>
          </c:extLst>
        </c:ser>
        <c:ser>
          <c:idx val="1"/>
          <c:order val="1"/>
          <c:tx>
            <c:strRef>
              <c:f>Form!$V$6</c:f>
              <c:strCache>
                <c:ptCount val="1"/>
                <c:pt idx="0">
                  <c:v>WL 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Form!$W$6:$W$7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Form!$X$6:$X$7</c:f>
              <c:numCache>
                <c:formatCode>0.00</c:formatCode>
                <c:ptCount val="2"/>
                <c:pt idx="0">
                  <c:v>2.1590909090909092</c:v>
                </c:pt>
                <c:pt idx="1">
                  <c:v>2.1590909090909092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97-46CF-8FFA-1A1510A6200E}"/>
            </c:ext>
          </c:extLst>
        </c:ser>
        <c:ser>
          <c:idx val="2"/>
          <c:order val="2"/>
          <c:tx>
            <c:strRef>
              <c:f>Form!$V$8</c:f>
              <c:strCache>
                <c:ptCount val="1"/>
                <c:pt idx="0">
                  <c:v>WL 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Form!$W$8:$W$9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Form!$X$8:$X$9</c:f>
              <c:numCache>
                <c:formatCode>0.00</c:formatCode>
                <c:ptCount val="2"/>
                <c:pt idx="0">
                  <c:v>1.7727272727272727</c:v>
                </c:pt>
                <c:pt idx="1">
                  <c:v>1.7727272727272727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97-46CF-8FFA-1A1510A6200E}"/>
            </c:ext>
          </c:extLst>
        </c:ser>
        <c:ser>
          <c:idx val="3"/>
          <c:order val="3"/>
          <c:tx>
            <c:strRef>
              <c:f>Form!$V$10</c:f>
              <c:strCache>
                <c:ptCount val="1"/>
                <c:pt idx="0">
                  <c:v>WL 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Form!$W$10:$W$11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Form!$X$10:$X$11</c:f>
              <c:numCache>
                <c:formatCode>0.00</c:formatCode>
                <c:ptCount val="2"/>
                <c:pt idx="0">
                  <c:v>1.3863636363636362</c:v>
                </c:pt>
                <c:pt idx="1">
                  <c:v>1.3863636363636362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97-46CF-8FFA-1A1510A6200E}"/>
            </c:ext>
          </c:extLst>
        </c:ser>
        <c:ser>
          <c:idx val="4"/>
          <c:order val="4"/>
          <c:tx>
            <c:strRef>
              <c:f>Form!$V$12</c:f>
              <c:strCache>
                <c:ptCount val="1"/>
                <c:pt idx="0">
                  <c:v>CWL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Form!$W$12:$W$13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Form!$X$12:$X$13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97-46CF-8FFA-1A1510A6200E}"/>
            </c:ext>
          </c:extLst>
        </c:ser>
        <c:ser>
          <c:idx val="5"/>
          <c:order val="5"/>
          <c:tx>
            <c:strRef>
              <c:f>Form!$V$14</c:f>
              <c:strCache>
                <c:ptCount val="1"/>
                <c:pt idx="0">
                  <c:v>WL 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Form!$W$14:$W$15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Form!$X$14:$X$15</c:f>
              <c:numCache>
                <c:formatCode>0.00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97-46CF-8FFA-1A1510A6200E}"/>
            </c:ext>
          </c:extLst>
        </c:ser>
        <c:ser>
          <c:idx val="6"/>
          <c:order val="6"/>
          <c:tx>
            <c:strRef>
              <c:f>Form!$V$16</c:f>
              <c:strCache>
                <c:ptCount val="1"/>
                <c:pt idx="0">
                  <c:v>WL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Form!$W$16:$W$17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Form!$X$16:$X$17</c:f>
              <c:numCache>
                <c:formatCode>0.00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97-46CF-8FFA-1A1510A6200E}"/>
            </c:ext>
          </c:extLst>
        </c:ser>
        <c:ser>
          <c:idx val="7"/>
          <c:order val="7"/>
          <c:tx>
            <c:strRef>
              <c:f>Form!$V$18</c:f>
              <c:strCache>
                <c:ptCount val="1"/>
                <c:pt idx="0">
                  <c:v>WL 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Form!$W$18:$W$19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Form!$X$18:$X$19</c:f>
              <c:numCache>
                <c:formatCode>0.00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97-46CF-8FFA-1A1510A6200E}"/>
            </c:ext>
          </c:extLst>
        </c:ser>
        <c:ser>
          <c:idx val="8"/>
          <c:order val="8"/>
          <c:tx>
            <c:strRef>
              <c:f>Form!$V$20</c:f>
              <c:strCache>
                <c:ptCount val="1"/>
                <c:pt idx="0">
                  <c:v>WL 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Form!$W$20:$W$21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Form!$X$20:$X$21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97-46CF-8FFA-1A1510A6200E}"/>
            </c:ext>
          </c:extLst>
        </c:ser>
        <c:ser>
          <c:idx val="9"/>
          <c:order val="9"/>
          <c:tx>
            <c:v>Transom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'Offset Tables'!$E$30:$E$34</c:f>
              <c:numCache>
                <c:formatCode>0.000</c:formatCode>
                <c:ptCount val="5"/>
                <c:pt idx="0">
                  <c:v>0.95</c:v>
                </c:pt>
                <c:pt idx="1">
                  <c:v>0.94</c:v>
                </c:pt>
                <c:pt idx="2">
                  <c:v>0.91</c:v>
                </c:pt>
                <c:pt idx="3">
                  <c:v>0.75</c:v>
                </c:pt>
                <c:pt idx="4">
                  <c:v>0</c:v>
                </c:pt>
              </c:numCache>
            </c:numRef>
          </c:xVal>
          <c:yVal>
            <c:numRef>
              <c:f>'Offset Tables'!$C$30:$C$34</c:f>
              <c:numCache>
                <c:formatCode>0.00</c:formatCode>
                <c:ptCount val="5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397-46CF-8FFA-1A1510A6200E}"/>
            </c:ext>
          </c:extLst>
        </c:ser>
        <c:ser>
          <c:idx val="10"/>
          <c:order val="10"/>
          <c:tx>
            <c:strRef>
              <c:f>'Offset Tables'!$G$28</c:f>
              <c:strCache>
                <c:ptCount val="1"/>
                <c:pt idx="0">
                  <c:v>Fr 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Tables'!$G$30:$G$41</c:f>
              <c:numCache>
                <c:formatCode>General</c:formatCode>
                <c:ptCount val="12"/>
                <c:pt idx="0">
                  <c:v>0.99</c:v>
                </c:pt>
                <c:pt idx="1">
                  <c:v>0.98699999999999999</c:v>
                </c:pt>
                <c:pt idx="2">
                  <c:v>0.96</c:v>
                </c:pt>
                <c:pt idx="3">
                  <c:v>0.84</c:v>
                </c:pt>
                <c:pt idx="4">
                  <c:v>0.4</c:v>
                </c:pt>
                <c:pt idx="5">
                  <c:v>-0.4</c:v>
                </c:pt>
                <c:pt idx="6">
                  <c:v>-1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397-46CF-8FFA-1A1510A6200E}"/>
            </c:ext>
          </c:extLst>
        </c:ser>
        <c:ser>
          <c:idx val="11"/>
          <c:order val="11"/>
          <c:tx>
            <c:strRef>
              <c:f>'Offset Tables'!$H$28</c:f>
              <c:strCache>
                <c:ptCount val="1"/>
                <c:pt idx="0">
                  <c:v>Fr 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Tables'!$H$30:$H$41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0.97</c:v>
                </c:pt>
                <c:pt idx="4">
                  <c:v>0.87</c:v>
                </c:pt>
                <c:pt idx="5">
                  <c:v>0.65</c:v>
                </c:pt>
                <c:pt idx="6">
                  <c:v>0.2</c:v>
                </c:pt>
                <c:pt idx="7">
                  <c:v>-0.2</c:v>
                </c:pt>
                <c:pt idx="8">
                  <c:v>-0.5</c:v>
                </c:pt>
                <c:pt idx="9">
                  <c:v>-0.7</c:v>
                </c:pt>
                <c:pt idx="10">
                  <c:v>-1</c:v>
                </c:pt>
                <c:pt idx="11">
                  <c:v>-1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397-46CF-8FFA-1A1510A6200E}"/>
            </c:ext>
          </c:extLst>
        </c:ser>
        <c:ser>
          <c:idx val="12"/>
          <c:order val="12"/>
          <c:tx>
            <c:strRef>
              <c:f>'Offset Tables'!$I$28</c:f>
              <c:strCache>
                <c:ptCount val="1"/>
                <c:pt idx="0">
                  <c:v>Fr 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Tables'!$I$30:$I$41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0.98499999999999999</c:v>
                </c:pt>
                <c:pt idx="5">
                  <c:v>0.93</c:v>
                </c:pt>
                <c:pt idx="6">
                  <c:v>0.8</c:v>
                </c:pt>
                <c:pt idx="7">
                  <c:v>0.57999999999999996</c:v>
                </c:pt>
                <c:pt idx="8">
                  <c:v>0.33</c:v>
                </c:pt>
                <c:pt idx="9">
                  <c:v>0.13</c:v>
                </c:pt>
                <c:pt idx="10">
                  <c:v>-0.15</c:v>
                </c:pt>
                <c:pt idx="11">
                  <c:v>-0.2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397-46CF-8FFA-1A1510A6200E}"/>
            </c:ext>
          </c:extLst>
        </c:ser>
        <c:ser>
          <c:idx val="13"/>
          <c:order val="13"/>
          <c:tx>
            <c:strRef>
              <c:f>'Offset Tables'!$J$28</c:f>
              <c:strCache>
                <c:ptCount val="1"/>
                <c:pt idx="0">
                  <c:v>Fr 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Tables'!$J$30:$J$41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0.997</c:v>
                </c:pt>
                <c:pt idx="6">
                  <c:v>0.98</c:v>
                </c:pt>
                <c:pt idx="7">
                  <c:v>0.93</c:v>
                </c:pt>
                <c:pt idx="8">
                  <c:v>0.8</c:v>
                </c:pt>
                <c:pt idx="9">
                  <c:v>0.67</c:v>
                </c:pt>
                <c:pt idx="10">
                  <c:v>0.47</c:v>
                </c:pt>
                <c:pt idx="11">
                  <c:v>0.45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397-46CF-8FFA-1A1510A6200E}"/>
            </c:ext>
          </c:extLst>
        </c:ser>
        <c:ser>
          <c:idx val="14"/>
          <c:order val="14"/>
          <c:tx>
            <c:strRef>
              <c:f>'Offset Tables'!$K$28</c:f>
              <c:strCache>
                <c:ptCount val="1"/>
                <c:pt idx="0">
                  <c:v>Fr 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Tables'!$K$30:$K$41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0.995</c:v>
                </c:pt>
                <c:pt idx="8">
                  <c:v>0.97</c:v>
                </c:pt>
                <c:pt idx="9">
                  <c:v>0.93</c:v>
                </c:pt>
                <c:pt idx="10">
                  <c:v>0.84</c:v>
                </c:pt>
                <c:pt idx="11">
                  <c:v>0.8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397-46CF-8FFA-1A1510A6200E}"/>
            </c:ext>
          </c:extLst>
        </c:ser>
        <c:ser>
          <c:idx val="15"/>
          <c:order val="15"/>
          <c:tx>
            <c:strRef>
              <c:f>'Offset Tables'!$L$28</c:f>
              <c:strCache>
                <c:ptCount val="1"/>
                <c:pt idx="0">
                  <c:v>Fr 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Tables'!$L$30:$L$41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0.995</c:v>
                </c:pt>
                <c:pt idx="8">
                  <c:v>0.97</c:v>
                </c:pt>
                <c:pt idx="9">
                  <c:v>0.93</c:v>
                </c:pt>
                <c:pt idx="10">
                  <c:v>0.84</c:v>
                </c:pt>
                <c:pt idx="11">
                  <c:v>0.8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397-46CF-8FFA-1A1510A62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533712"/>
        <c:axId val="251535632"/>
      </c:scatterChart>
      <c:valAx>
        <c:axId val="25153371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535632"/>
        <c:crosses val="autoZero"/>
        <c:crossBetween val="midCat"/>
        <c:majorUnit val="0.1"/>
      </c:valAx>
      <c:valAx>
        <c:axId val="251535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533712"/>
        <c:crossesAt val="-1"/>
        <c:crossBetween val="midCat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Form!$V$4</c:f>
              <c:strCache>
                <c:ptCount val="1"/>
                <c:pt idx="0">
                  <c:v>Upper Dk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Form!$W$4:$W$5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Form!$X$4:$X$5</c:f>
              <c:numCache>
                <c:formatCode>0.00</c:formatCode>
                <c:ptCount val="2"/>
                <c:pt idx="0">
                  <c:v>2.5454545454545454</c:v>
                </c:pt>
                <c:pt idx="1">
                  <c:v>2.5454545454545454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0B-4015-9912-5125BB796BA9}"/>
            </c:ext>
          </c:extLst>
        </c:ser>
        <c:ser>
          <c:idx val="1"/>
          <c:order val="1"/>
          <c:tx>
            <c:strRef>
              <c:f>Form!$V$6</c:f>
              <c:strCache>
                <c:ptCount val="1"/>
                <c:pt idx="0">
                  <c:v>WL 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Form!$W$6:$W$7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Form!$X$6:$X$7</c:f>
              <c:numCache>
                <c:formatCode>0.00</c:formatCode>
                <c:ptCount val="2"/>
                <c:pt idx="0">
                  <c:v>2.1590909090909092</c:v>
                </c:pt>
                <c:pt idx="1">
                  <c:v>2.1590909090909092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0B-4015-9912-5125BB796BA9}"/>
            </c:ext>
          </c:extLst>
        </c:ser>
        <c:ser>
          <c:idx val="2"/>
          <c:order val="2"/>
          <c:tx>
            <c:strRef>
              <c:f>Form!$V$8</c:f>
              <c:strCache>
                <c:ptCount val="1"/>
                <c:pt idx="0">
                  <c:v>WL 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Form!$W$8:$W$9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Form!$X$8:$X$9</c:f>
              <c:numCache>
                <c:formatCode>0.00</c:formatCode>
                <c:ptCount val="2"/>
                <c:pt idx="0">
                  <c:v>1.7727272727272727</c:v>
                </c:pt>
                <c:pt idx="1">
                  <c:v>1.7727272727272727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0B-4015-9912-5125BB796BA9}"/>
            </c:ext>
          </c:extLst>
        </c:ser>
        <c:ser>
          <c:idx val="3"/>
          <c:order val="3"/>
          <c:tx>
            <c:strRef>
              <c:f>Form!$V$10</c:f>
              <c:strCache>
                <c:ptCount val="1"/>
                <c:pt idx="0">
                  <c:v>WL 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Form!$W$10:$W$11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Form!$X$10:$X$11</c:f>
              <c:numCache>
                <c:formatCode>0.00</c:formatCode>
                <c:ptCount val="2"/>
                <c:pt idx="0">
                  <c:v>1.3863636363636362</c:v>
                </c:pt>
                <c:pt idx="1">
                  <c:v>1.3863636363636362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0B-4015-9912-5125BB796BA9}"/>
            </c:ext>
          </c:extLst>
        </c:ser>
        <c:ser>
          <c:idx val="4"/>
          <c:order val="4"/>
          <c:tx>
            <c:strRef>
              <c:f>Form!$V$12</c:f>
              <c:strCache>
                <c:ptCount val="1"/>
                <c:pt idx="0">
                  <c:v>CWL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Form!$W$12:$W$13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Form!$X$12:$X$13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0B-4015-9912-5125BB796BA9}"/>
            </c:ext>
          </c:extLst>
        </c:ser>
        <c:ser>
          <c:idx val="5"/>
          <c:order val="5"/>
          <c:tx>
            <c:strRef>
              <c:f>Form!$V$14</c:f>
              <c:strCache>
                <c:ptCount val="1"/>
                <c:pt idx="0">
                  <c:v>WL 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Form!$W$14:$W$15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Form!$X$14:$X$15</c:f>
              <c:numCache>
                <c:formatCode>0.00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0B-4015-9912-5125BB796BA9}"/>
            </c:ext>
          </c:extLst>
        </c:ser>
        <c:ser>
          <c:idx val="6"/>
          <c:order val="6"/>
          <c:tx>
            <c:strRef>
              <c:f>Form!$V$16</c:f>
              <c:strCache>
                <c:ptCount val="1"/>
                <c:pt idx="0">
                  <c:v>WL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Form!$W$16:$W$17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Form!$X$16:$X$17</c:f>
              <c:numCache>
                <c:formatCode>0.00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D0B-4015-9912-5125BB796BA9}"/>
            </c:ext>
          </c:extLst>
        </c:ser>
        <c:ser>
          <c:idx val="7"/>
          <c:order val="7"/>
          <c:tx>
            <c:strRef>
              <c:f>Form!$V$18</c:f>
              <c:strCache>
                <c:ptCount val="1"/>
                <c:pt idx="0">
                  <c:v>WL 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Form!$W$18:$W$19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Form!$X$18:$X$19</c:f>
              <c:numCache>
                <c:formatCode>0.00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D0B-4015-9912-5125BB796BA9}"/>
            </c:ext>
          </c:extLst>
        </c:ser>
        <c:ser>
          <c:idx val="8"/>
          <c:order val="8"/>
          <c:tx>
            <c:strRef>
              <c:f>Form!$V$20</c:f>
              <c:strCache>
                <c:ptCount val="1"/>
                <c:pt idx="0">
                  <c:v>WL 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Form!$W$20:$W$21</c:f>
              <c:numCache>
                <c:formatCode>General</c:formatCode>
                <c:ptCount val="2"/>
                <c:pt idx="0">
                  <c:v>-1.1000000000000001</c:v>
                </c:pt>
                <c:pt idx="1">
                  <c:v>1.1000000000000001</c:v>
                </c:pt>
              </c:numCache>
            </c:numRef>
          </c:xVal>
          <c:yVal>
            <c:numRef>
              <c:f>Form!$X$20:$X$21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D0B-4015-9912-5125BB796BA9}"/>
            </c:ext>
          </c:extLst>
        </c:ser>
        <c:ser>
          <c:idx val="9"/>
          <c:order val="9"/>
          <c:tx>
            <c:v>Bow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'Offset Tables'!$S$30:$S$41</c:f>
              <c:numCache>
                <c:formatCode>General</c:formatCode>
                <c:ptCount val="12"/>
                <c:pt idx="0">
                  <c:v>0.2</c:v>
                </c:pt>
                <c:pt idx="1">
                  <c:v>0.12</c:v>
                </c:pt>
                <c:pt idx="2">
                  <c:v>0.06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0.05</c:v>
                </c:pt>
                <c:pt idx="8">
                  <c:v>0.04</c:v>
                </c:pt>
                <c:pt idx="9">
                  <c:v>0.03</c:v>
                </c:pt>
                <c:pt idx="10">
                  <c:v>1E-3</c:v>
                </c:pt>
                <c:pt idx="11">
                  <c:v>0</c:v>
                </c:pt>
              </c:numCache>
            </c:numRef>
          </c:xVal>
          <c:yVal>
            <c:numRef>
              <c:f>'Offset Tables'!$C$30:$C$34</c:f>
              <c:numCache>
                <c:formatCode>0.00</c:formatCode>
                <c:ptCount val="5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D0B-4015-9912-5125BB796BA9}"/>
            </c:ext>
          </c:extLst>
        </c:ser>
        <c:ser>
          <c:idx val="10"/>
          <c:order val="10"/>
          <c:tx>
            <c:strRef>
              <c:f>'Offset Tables'!$Q$28</c:f>
              <c:strCache>
                <c:ptCount val="1"/>
                <c:pt idx="0">
                  <c:v>Fr 10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Tables'!$Q$30:$Q$41</c:f>
              <c:numCache>
                <c:formatCode>General</c:formatCode>
                <c:ptCount val="12"/>
                <c:pt idx="0">
                  <c:v>0.5</c:v>
                </c:pt>
                <c:pt idx="1">
                  <c:v>0.35</c:v>
                </c:pt>
                <c:pt idx="2">
                  <c:v>0.2</c:v>
                </c:pt>
                <c:pt idx="3">
                  <c:v>0.08</c:v>
                </c:pt>
                <c:pt idx="4">
                  <c:v>0</c:v>
                </c:pt>
                <c:pt idx="5">
                  <c:v>0.01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0.04</c:v>
                </c:pt>
                <c:pt idx="10">
                  <c:v>0.01</c:v>
                </c:pt>
                <c:pt idx="11">
                  <c:v>0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D0B-4015-9912-5125BB796BA9}"/>
            </c:ext>
          </c:extLst>
        </c:ser>
        <c:ser>
          <c:idx val="11"/>
          <c:order val="11"/>
          <c:tx>
            <c:strRef>
              <c:f>'Offset Tables'!$P$28</c:f>
              <c:strCache>
                <c:ptCount val="1"/>
                <c:pt idx="0">
                  <c:v>Fr 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Tables'!$P$30:$P$41</c:f>
              <c:numCache>
                <c:formatCode>General</c:formatCode>
                <c:ptCount val="12"/>
                <c:pt idx="0">
                  <c:v>0.89</c:v>
                </c:pt>
                <c:pt idx="1">
                  <c:v>0.82</c:v>
                </c:pt>
                <c:pt idx="2">
                  <c:v>0.74</c:v>
                </c:pt>
                <c:pt idx="3">
                  <c:v>0.63</c:v>
                </c:pt>
                <c:pt idx="4">
                  <c:v>0.49</c:v>
                </c:pt>
                <c:pt idx="5">
                  <c:v>0.41</c:v>
                </c:pt>
                <c:pt idx="6">
                  <c:v>0.33</c:v>
                </c:pt>
                <c:pt idx="7">
                  <c:v>0.24</c:v>
                </c:pt>
                <c:pt idx="8">
                  <c:v>0.14000000000000001</c:v>
                </c:pt>
                <c:pt idx="9">
                  <c:v>0.08</c:v>
                </c:pt>
                <c:pt idx="10">
                  <c:v>1.4999999999999999E-2</c:v>
                </c:pt>
                <c:pt idx="11">
                  <c:v>0.01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D0B-4015-9912-5125BB796BA9}"/>
            </c:ext>
          </c:extLst>
        </c:ser>
        <c:ser>
          <c:idx val="12"/>
          <c:order val="12"/>
          <c:tx>
            <c:strRef>
              <c:f>'Offset Tables'!$O$28</c:f>
              <c:strCache>
                <c:ptCount val="1"/>
                <c:pt idx="0">
                  <c:v>Fr 8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Tables'!$O$30:$O$41</c:f>
              <c:numCache>
                <c:formatCode>General</c:formatCode>
                <c:ptCount val="12"/>
                <c:pt idx="0">
                  <c:v>1</c:v>
                </c:pt>
                <c:pt idx="1">
                  <c:v>0.99</c:v>
                </c:pt>
                <c:pt idx="2">
                  <c:v>0.96</c:v>
                </c:pt>
                <c:pt idx="3">
                  <c:v>0.9</c:v>
                </c:pt>
                <c:pt idx="4">
                  <c:v>0.82</c:v>
                </c:pt>
                <c:pt idx="5">
                  <c:v>0.76</c:v>
                </c:pt>
                <c:pt idx="6">
                  <c:v>0.67</c:v>
                </c:pt>
                <c:pt idx="7">
                  <c:v>0.56000000000000005</c:v>
                </c:pt>
                <c:pt idx="8">
                  <c:v>0.4</c:v>
                </c:pt>
                <c:pt idx="9">
                  <c:v>0.28000000000000003</c:v>
                </c:pt>
                <c:pt idx="10">
                  <c:v>0.14000000000000001</c:v>
                </c:pt>
                <c:pt idx="11">
                  <c:v>0.13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D0B-4015-9912-5125BB796BA9}"/>
            </c:ext>
          </c:extLst>
        </c:ser>
        <c:ser>
          <c:idx val="13"/>
          <c:order val="13"/>
          <c:tx>
            <c:strRef>
              <c:f>'Offset Tables'!$N$28</c:f>
              <c:strCache>
                <c:ptCount val="1"/>
                <c:pt idx="0">
                  <c:v>Fr 7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Tables'!$N$30:$N$41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</c:v>
                </c:pt>
                <c:pt idx="5">
                  <c:v>0.95</c:v>
                </c:pt>
                <c:pt idx="6">
                  <c:v>0.9</c:v>
                </c:pt>
                <c:pt idx="7">
                  <c:v>0.82</c:v>
                </c:pt>
                <c:pt idx="8">
                  <c:v>0.69</c:v>
                </c:pt>
                <c:pt idx="9">
                  <c:v>0.55000000000000004</c:v>
                </c:pt>
                <c:pt idx="10">
                  <c:v>0.36</c:v>
                </c:pt>
                <c:pt idx="11">
                  <c:v>0.35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D0B-4015-9912-5125BB796BA9}"/>
            </c:ext>
          </c:extLst>
        </c:ser>
        <c:ser>
          <c:idx val="14"/>
          <c:order val="14"/>
          <c:tx>
            <c:strRef>
              <c:f>'Offset Tables'!$M$28</c:f>
              <c:strCache>
                <c:ptCount val="1"/>
                <c:pt idx="0">
                  <c:v>Fr 6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'Offset Tables'!$M$30:$M$41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</c:v>
                </c:pt>
                <c:pt idx="7">
                  <c:v>0.96</c:v>
                </c:pt>
                <c:pt idx="8">
                  <c:v>0.88</c:v>
                </c:pt>
                <c:pt idx="9">
                  <c:v>0.8</c:v>
                </c:pt>
                <c:pt idx="10">
                  <c:v>0.65</c:v>
                </c:pt>
                <c:pt idx="11">
                  <c:v>0.63</c:v>
                </c:pt>
              </c:numCache>
            </c:numRef>
          </c:xVal>
          <c:yVal>
            <c:numRef>
              <c:f>'Offset Tables'!$C$30:$C$41</c:f>
              <c:numCache>
                <c:formatCode>0.00</c:formatCode>
                <c:ptCount val="12"/>
                <c:pt idx="0">
                  <c:v>2.5454545454545454</c:v>
                </c:pt>
                <c:pt idx="1">
                  <c:v>2.1590909090909092</c:v>
                </c:pt>
                <c:pt idx="2">
                  <c:v>1.7727272727272727</c:v>
                </c:pt>
                <c:pt idx="3">
                  <c:v>1.3863636363636362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0.01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D0B-4015-9912-5125BB79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533712"/>
        <c:axId val="251535632"/>
      </c:scatterChart>
      <c:valAx>
        <c:axId val="25153371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535632"/>
        <c:crosses val="autoZero"/>
        <c:crossBetween val="midCat"/>
        <c:majorUnit val="0.1"/>
      </c:valAx>
      <c:valAx>
        <c:axId val="251535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533712"/>
        <c:crossesAt val="-1"/>
        <c:crossBetween val="midCat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Profile</a:t>
            </a:r>
          </a:p>
        </c:rich>
      </c:tx>
      <c:layout>
        <c:manualLayout>
          <c:xMode val="edge"/>
          <c:yMode val="edge"/>
          <c:x val="0.48219012892110741"/>
          <c:y val="2.75482834782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598956701098668E-2"/>
          <c:y val="0.41046942382657498"/>
          <c:w val="0.95052801063654691"/>
          <c:h val="0.3581276852178170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Lines!$X$30:$X$34</c:f>
              <c:numCache>
                <c:formatCode>General</c:formatCode>
                <c:ptCount val="5"/>
                <c:pt idx="0">
                  <c:v>-6</c:v>
                </c:pt>
                <c:pt idx="1">
                  <c:v>-5.7</c:v>
                </c:pt>
                <c:pt idx="2">
                  <c:v>-5.2500000000000009</c:v>
                </c:pt>
                <c:pt idx="3">
                  <c:v>-4.5</c:v>
                </c:pt>
                <c:pt idx="4">
                  <c:v>-3.75</c:v>
                </c:pt>
              </c:numCache>
            </c:numRef>
          </c:xVal>
          <c:yVal>
            <c:numRef>
              <c:f>Lines!$W$30:$W$34</c:f>
              <c:numCache>
                <c:formatCode>General</c:formatCode>
                <c:ptCount val="5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BE-4841-A3EF-C3D21107A77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Lines!$X$34:$X$40</c:f>
              <c:numCache>
                <c:formatCode>General</c:formatCode>
                <c:ptCount val="7"/>
                <c:pt idx="0">
                  <c:v>-3.75</c:v>
                </c:pt>
                <c:pt idx="1">
                  <c:v>4.8</c:v>
                </c:pt>
                <c:pt idx="2">
                  <c:v>5.7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xVal>
          <c:yVal>
            <c:numRef>
              <c:f>Lines!$W$34:$W$40</c:f>
              <c:numCache>
                <c:formatCode>General</c:formatCode>
                <c:ptCount val="7"/>
                <c:pt idx="0">
                  <c:v>5.5</c:v>
                </c:pt>
                <c:pt idx="1">
                  <c:v>4.4000000000000004</c:v>
                </c:pt>
                <c:pt idx="2">
                  <c:v>3.3</c:v>
                </c:pt>
                <c:pt idx="3">
                  <c:v>2.2000000000000002</c:v>
                </c:pt>
                <c:pt idx="4">
                  <c:v>1.1000000000000001</c:v>
                </c:pt>
                <c:pt idx="5">
                  <c:v>0.55000000000000004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BE-4841-A3EF-C3D21107A771}"/>
            </c:ext>
          </c:extLst>
        </c:ser>
        <c:ser>
          <c:idx val="2"/>
          <c:order val="2"/>
          <c:tx>
            <c:strRef>
              <c:f>Lines!$V$3</c:f>
              <c:strCache>
                <c:ptCount val="1"/>
                <c:pt idx="0">
                  <c:v>Upper Dk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Lines!$W$3:$W$4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Lines!$Y$3:$Y$4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BE-4841-A3EF-C3D21107A771}"/>
            </c:ext>
          </c:extLst>
        </c:ser>
        <c:ser>
          <c:idx val="3"/>
          <c:order val="3"/>
          <c:tx>
            <c:strRef>
              <c:f>Lines!$V$5</c:f>
              <c:strCache>
                <c:ptCount val="1"/>
                <c:pt idx="0">
                  <c:v>WL 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Lines!$W$5:$W$6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Lines!$Y$5:$Y$6</c:f>
              <c:numCache>
                <c:formatCode>General</c:formatCode>
                <c:ptCount val="2"/>
                <c:pt idx="0">
                  <c:v>11.875</c:v>
                </c:pt>
                <c:pt idx="1">
                  <c:v>11.875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BE-4841-A3EF-C3D21107A771}"/>
            </c:ext>
          </c:extLst>
        </c:ser>
        <c:ser>
          <c:idx val="4"/>
          <c:order val="4"/>
          <c:tx>
            <c:strRef>
              <c:f>Lines!$V$7</c:f>
              <c:strCache>
                <c:ptCount val="1"/>
                <c:pt idx="0">
                  <c:v>WL 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Lines!$W$7:$W$8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Lines!$Y$7:$Y$8</c:f>
              <c:numCache>
                <c:formatCode>General</c:formatCode>
                <c:ptCount val="2"/>
                <c:pt idx="0">
                  <c:v>9.75</c:v>
                </c:pt>
                <c:pt idx="1">
                  <c:v>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BE-4841-A3EF-C3D21107A771}"/>
            </c:ext>
          </c:extLst>
        </c:ser>
        <c:ser>
          <c:idx val="5"/>
          <c:order val="5"/>
          <c:tx>
            <c:strRef>
              <c:f>Lines!$V$9</c:f>
              <c:strCache>
                <c:ptCount val="1"/>
                <c:pt idx="0">
                  <c:v>WL 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Lines!$W$9:$W$10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Lines!$Y$9:$Y$10</c:f>
              <c:numCache>
                <c:formatCode>General</c:formatCode>
                <c:ptCount val="2"/>
                <c:pt idx="0">
                  <c:v>7.625</c:v>
                </c:pt>
                <c:pt idx="1">
                  <c:v>7.625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BE-4841-A3EF-C3D21107A771}"/>
            </c:ext>
          </c:extLst>
        </c:ser>
        <c:ser>
          <c:idx val="6"/>
          <c:order val="6"/>
          <c:tx>
            <c:strRef>
              <c:f>Lines!$V$11</c:f>
              <c:strCache>
                <c:ptCount val="1"/>
                <c:pt idx="0">
                  <c:v>CWL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Lines!$W$11:$W$12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Lines!$Y$11:$Y$12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BE-4841-A3EF-C3D21107A771}"/>
            </c:ext>
          </c:extLst>
        </c:ser>
        <c:ser>
          <c:idx val="7"/>
          <c:order val="7"/>
          <c:tx>
            <c:strRef>
              <c:f>Lines!$V$13</c:f>
              <c:strCache>
                <c:ptCount val="1"/>
                <c:pt idx="0">
                  <c:v>WL 4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Lines!$W$13:$W$14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Lines!$Y$13:$Y$14</c:f>
              <c:numCache>
                <c:formatCode>General</c:formatCode>
                <c:ptCount val="2"/>
                <c:pt idx="0">
                  <c:v>4.4000000000000004</c:v>
                </c:pt>
                <c:pt idx="1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BE-4841-A3EF-C3D21107A771}"/>
            </c:ext>
          </c:extLst>
        </c:ser>
        <c:ser>
          <c:idx val="8"/>
          <c:order val="8"/>
          <c:tx>
            <c:strRef>
              <c:f>Lines!$V$15</c:f>
              <c:strCache>
                <c:ptCount val="1"/>
                <c:pt idx="0">
                  <c:v>WL 3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Lines!$W$15:$W$16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Lines!$Y$15:$Y$16</c:f>
              <c:numCache>
                <c:formatCode>General</c:formatCode>
                <c:ptCount val="2"/>
                <c:pt idx="0">
                  <c:v>3.3</c:v>
                </c:pt>
                <c:pt idx="1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BE-4841-A3EF-C3D21107A771}"/>
            </c:ext>
          </c:extLst>
        </c:ser>
        <c:ser>
          <c:idx val="9"/>
          <c:order val="9"/>
          <c:tx>
            <c:strRef>
              <c:f>Lines!$V$17</c:f>
              <c:strCache>
                <c:ptCount val="1"/>
                <c:pt idx="0">
                  <c:v>WL 2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Lines!$W$17:$W$18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Lines!$Y$17:$Y$18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BE-4841-A3EF-C3D21107A771}"/>
            </c:ext>
          </c:extLst>
        </c:ser>
        <c:ser>
          <c:idx val="10"/>
          <c:order val="10"/>
          <c:tx>
            <c:strRef>
              <c:f>Lines!$V$19</c:f>
              <c:strCache>
                <c:ptCount val="1"/>
                <c:pt idx="0">
                  <c:v>WL 1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Lines!$W$19:$W$20</c:f>
              <c:numCache>
                <c:formatCode>General</c:formatCode>
                <c:ptCount val="2"/>
                <c:pt idx="0">
                  <c:v>-8</c:v>
                </c:pt>
                <c:pt idx="1">
                  <c:v>156.5</c:v>
                </c:pt>
              </c:numCache>
            </c:numRef>
          </c:xVal>
          <c:yVal>
            <c:numRef>
              <c:f>Lines!$Y$19:$Y$20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5BE-4841-A3EF-C3D21107A771}"/>
            </c:ext>
          </c:extLst>
        </c:ser>
        <c:ser>
          <c:idx val="11"/>
          <c:order val="11"/>
          <c:spPr>
            <a:ln w="12700">
              <a:solidFill>
                <a:srgbClr val="FD67E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D67E8"/>
              </a:solidFill>
              <a:ln>
                <a:solidFill>
                  <a:srgbClr val="FD67E8"/>
                </a:solidFill>
                <a:prstDash val="solid"/>
              </a:ln>
            </c:spPr>
          </c:marker>
          <c:xVal>
            <c:numRef>
              <c:f>Lines!$AL$30:$AL$41</c:f>
              <c:numCache>
                <c:formatCode>General</c:formatCode>
                <c:ptCount val="12"/>
                <c:pt idx="0">
                  <c:v>154.5</c:v>
                </c:pt>
                <c:pt idx="1">
                  <c:v>153.30000000000001</c:v>
                </c:pt>
                <c:pt idx="2">
                  <c:v>151.94999999999999</c:v>
                </c:pt>
                <c:pt idx="3">
                  <c:v>150.9</c:v>
                </c:pt>
                <c:pt idx="4">
                  <c:v>150</c:v>
                </c:pt>
                <c:pt idx="5">
                  <c:v>150</c:v>
                </c:pt>
                <c:pt idx="6">
                  <c:v>151.19999999999999</c:v>
                </c:pt>
                <c:pt idx="7">
                  <c:v>152.24999999999997</c:v>
                </c:pt>
                <c:pt idx="8">
                  <c:v>152.24999999999997</c:v>
                </c:pt>
                <c:pt idx="9">
                  <c:v>151.94999999999999</c:v>
                </c:pt>
                <c:pt idx="10">
                  <c:v>150</c:v>
                </c:pt>
                <c:pt idx="11">
                  <c:v>147</c:v>
                </c:pt>
              </c:numCache>
            </c:numRef>
          </c:xVal>
          <c:yVal>
            <c:numRef>
              <c:f>Lines!$W$30:$W$41</c:f>
              <c:numCache>
                <c:formatCode>General</c:formatCode>
                <c:ptCount val="12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5BE-4841-A3EF-C3D21107A771}"/>
            </c:ext>
          </c:extLst>
        </c:ser>
        <c:ser>
          <c:idx val="12"/>
          <c:order val="12"/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D67E8"/>
              </a:solidFill>
              <a:ln>
                <a:solidFill>
                  <a:srgbClr val="FD67E8"/>
                </a:solidFill>
                <a:prstDash val="solid"/>
              </a:ln>
            </c:spPr>
          </c:marker>
          <c:xVal>
            <c:numRef>
              <c:f>Lines!$Z$34:$Z$41</c:f>
              <c:numCache>
                <c:formatCode>General</c:formatCode>
                <c:ptCount val="8"/>
                <c:pt idx="0">
                  <c:v>-3.75</c:v>
                </c:pt>
                <c:pt idx="1">
                  <c:v>6</c:v>
                </c:pt>
                <c:pt idx="2">
                  <c:v>13.5</c:v>
                </c:pt>
                <c:pt idx="3">
                  <c:v>18</c:v>
                </c:pt>
                <c:pt idx="4">
                  <c:v>22.5</c:v>
                </c:pt>
                <c:pt idx="5">
                  <c:v>25.500000000000004</c:v>
                </c:pt>
                <c:pt idx="6">
                  <c:v>30</c:v>
                </c:pt>
                <c:pt idx="7">
                  <c:v>33</c:v>
                </c:pt>
              </c:numCache>
            </c:numRef>
          </c:xVal>
          <c:yVal>
            <c:numRef>
              <c:f>Lines!$W$34:$W$41</c:f>
              <c:numCache>
                <c:formatCode>General</c:formatCode>
                <c:ptCount val="8"/>
                <c:pt idx="0">
                  <c:v>5.5</c:v>
                </c:pt>
                <c:pt idx="1">
                  <c:v>4.4000000000000004</c:v>
                </c:pt>
                <c:pt idx="2">
                  <c:v>3.3</c:v>
                </c:pt>
                <c:pt idx="3">
                  <c:v>2.2000000000000002</c:v>
                </c:pt>
                <c:pt idx="4">
                  <c:v>1.1000000000000001</c:v>
                </c:pt>
                <c:pt idx="5">
                  <c:v>0.55000000000000004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5BE-4841-A3EF-C3D21107A771}"/>
            </c:ext>
          </c:extLst>
        </c:ser>
        <c:ser>
          <c:idx val="13"/>
          <c:order val="1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Lines!$AA$5:$AA$6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Lines!$AC$5:$AC$6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5BE-4841-A3EF-C3D21107A771}"/>
            </c:ext>
          </c:extLst>
        </c:ser>
        <c:ser>
          <c:idx val="14"/>
          <c:order val="1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Lines!$AA$7:$AA$8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Lines!$AC$7:$AC$8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5BE-4841-A3EF-C3D21107A771}"/>
            </c:ext>
          </c:extLst>
        </c:ser>
        <c:ser>
          <c:idx val="15"/>
          <c:order val="1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Lines!$AA$9:$AA$10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Lines!$AC$9:$AC$10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5BE-4841-A3EF-C3D21107A771}"/>
            </c:ext>
          </c:extLst>
        </c:ser>
        <c:ser>
          <c:idx val="16"/>
          <c:order val="1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Lines!$AA$11:$AA$12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Lines!$AC$11:$AC$12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5BE-4841-A3EF-C3D21107A771}"/>
            </c:ext>
          </c:extLst>
        </c:ser>
        <c:ser>
          <c:idx val="17"/>
          <c:order val="1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Lines!$AA$13:$AA$14</c:f>
              <c:numCache>
                <c:formatCode>General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xVal>
          <c:yVal>
            <c:numRef>
              <c:f>Lines!$AC$13:$AC$14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5BE-4841-A3EF-C3D21107A771}"/>
            </c:ext>
          </c:extLst>
        </c:ser>
        <c:ser>
          <c:idx val="18"/>
          <c:order val="1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Lines!$AA$15:$AA$16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xVal>
          <c:yVal>
            <c:numRef>
              <c:f>Lines!$AC$15:$AC$16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B5BE-4841-A3EF-C3D21107A771}"/>
            </c:ext>
          </c:extLst>
        </c:ser>
        <c:ser>
          <c:idx val="19"/>
          <c:order val="1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Lines!$AA$17:$AA$18</c:f>
              <c:numCache>
                <c:formatCode>General</c:formatCode>
                <c:ptCount val="2"/>
                <c:pt idx="0">
                  <c:v>105</c:v>
                </c:pt>
                <c:pt idx="1">
                  <c:v>105</c:v>
                </c:pt>
              </c:numCache>
            </c:numRef>
          </c:xVal>
          <c:yVal>
            <c:numRef>
              <c:f>Lines!$AC$17:$AC$18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B5BE-4841-A3EF-C3D21107A771}"/>
            </c:ext>
          </c:extLst>
        </c:ser>
        <c:ser>
          <c:idx val="20"/>
          <c:order val="2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Lines!$AA$19:$AA$20</c:f>
              <c:numCache>
                <c:formatCode>General</c:formatCode>
                <c:ptCount val="2"/>
                <c:pt idx="0">
                  <c:v>120</c:v>
                </c:pt>
                <c:pt idx="1">
                  <c:v>120</c:v>
                </c:pt>
              </c:numCache>
            </c:numRef>
          </c:xVal>
          <c:yVal>
            <c:numRef>
              <c:f>Lines!$AC$19:$AC$20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B5BE-4841-A3EF-C3D21107A771}"/>
            </c:ext>
          </c:extLst>
        </c:ser>
        <c:ser>
          <c:idx val="21"/>
          <c:order val="2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Lines!$AA$21:$AA$22</c:f>
              <c:numCache>
                <c:formatCode>General</c:formatCode>
                <c:ptCount val="2"/>
                <c:pt idx="0">
                  <c:v>135</c:v>
                </c:pt>
                <c:pt idx="1">
                  <c:v>135</c:v>
                </c:pt>
              </c:numCache>
            </c:numRef>
          </c:xVal>
          <c:yVal>
            <c:numRef>
              <c:f>Lines!$AC$21:$AC$22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B5BE-4841-A3EF-C3D21107A771}"/>
            </c:ext>
          </c:extLst>
        </c:ser>
        <c:ser>
          <c:idx val="22"/>
          <c:order val="22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Lines!$AA$23:$AA$24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Lines!$AC$21:$AC$22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B5BE-4841-A3EF-C3D21107A771}"/>
            </c:ext>
          </c:extLst>
        </c:ser>
        <c:ser>
          <c:idx val="23"/>
          <c:order val="2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Lines!$AA$3:$AA$4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Lines!$AC$3:$AC$4</c:f>
              <c:numCache>
                <c:formatCode>General</c:formatCode>
                <c:ptCount val="2"/>
                <c:pt idx="0">
                  <c:v>0</c:v>
                </c:pt>
                <c:pt idx="1">
                  <c:v>15.400000000000002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B5BE-4841-A3EF-C3D21107A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200952"/>
        <c:axId val="1"/>
      </c:scatterChart>
      <c:valAx>
        <c:axId val="787200952"/>
        <c:scaling>
          <c:orientation val="minMax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[ m ]</a:t>
                </a:r>
              </a:p>
            </c:rich>
          </c:tx>
          <c:layout>
            <c:manualLayout>
              <c:xMode val="edge"/>
              <c:yMode val="edge"/>
              <c:x val="0.49802126858472795"/>
              <c:y val="0.853996787827102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z [ m ]</a:t>
                </a:r>
              </a:p>
            </c:rich>
          </c:tx>
          <c:layout>
            <c:manualLayout>
              <c:xMode val="edge"/>
              <c:yMode val="edge"/>
              <c:x val="4.6174157352226438E-3"/>
              <c:y val="0.512398072696261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200952"/>
        <c:crossesAt val="-1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Waterlines</a:t>
            </a:r>
          </a:p>
        </c:rich>
      </c:tx>
      <c:layout>
        <c:manualLayout>
          <c:xMode val="edge"/>
          <c:yMode val="edge"/>
          <c:x val="0.4703560338155891"/>
          <c:y val="4.4444484632237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24670313445887E-2"/>
          <c:y val="0.28148173600417392"/>
          <c:w val="0.93478321006207421"/>
          <c:h val="0.429630018111633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Lines!$V$30</c:f>
              <c:strCache>
                <c:ptCount val="1"/>
                <c:pt idx="0">
                  <c:v>Upper Dk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(Lines!$X$30,Lines!$AA$29:$AK$29,Lines!$AL$30)</c:f>
              <c:numCache>
                <c:formatCode>General</c:formatCode>
                <c:ptCount val="13"/>
                <c:pt idx="0">
                  <c:v>-6</c:v>
                </c:pt>
                <c:pt idx="1">
                  <c:v>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105</c:v>
                </c:pt>
                <c:pt idx="9">
                  <c:v>120</c:v>
                </c:pt>
                <c:pt idx="10">
                  <c:v>135</c:v>
                </c:pt>
                <c:pt idx="11">
                  <c:v>150</c:v>
                </c:pt>
                <c:pt idx="12">
                  <c:v>154.5</c:v>
                </c:pt>
              </c:numCache>
            </c:numRef>
          </c:xVal>
          <c:yVal>
            <c:numRef>
              <c:f>(Lines!$Y$30,Lines!$AA$30:$AK$30,Lines!$AM$30)</c:f>
              <c:numCache>
                <c:formatCode>General</c:formatCode>
                <c:ptCount val="13"/>
                <c:pt idx="0">
                  <c:v>11.875</c:v>
                </c:pt>
                <c:pt idx="1">
                  <c:v>12.375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  <c:pt idx="10">
                  <c:v>11.125</c:v>
                </c:pt>
                <c:pt idx="11">
                  <c:v>6.25</c:v>
                </c:pt>
                <c:pt idx="12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1A-44E7-AABD-CB1973721247}"/>
            </c:ext>
          </c:extLst>
        </c:ser>
        <c:ser>
          <c:idx val="1"/>
          <c:order val="1"/>
          <c:tx>
            <c:strRef>
              <c:f>Lines!$V$31</c:f>
              <c:strCache>
                <c:ptCount val="1"/>
                <c:pt idx="0">
                  <c:v>WL 8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(Lines!$X$31,Lines!$AA$29:$AK$29,Lines!$AL$31)</c:f>
              <c:numCache>
                <c:formatCode>General</c:formatCode>
                <c:ptCount val="13"/>
                <c:pt idx="0">
                  <c:v>-5.7</c:v>
                </c:pt>
                <c:pt idx="1">
                  <c:v>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105</c:v>
                </c:pt>
                <c:pt idx="9">
                  <c:v>120</c:v>
                </c:pt>
                <c:pt idx="10">
                  <c:v>135</c:v>
                </c:pt>
                <c:pt idx="11">
                  <c:v>150</c:v>
                </c:pt>
                <c:pt idx="12">
                  <c:v>153.30000000000001</c:v>
                </c:pt>
              </c:numCache>
            </c:numRef>
          </c:xVal>
          <c:yVal>
            <c:numRef>
              <c:f>(Lines!$Y$31,Lines!$AA$31:$AK$31)</c:f>
              <c:numCache>
                <c:formatCode>General</c:formatCode>
                <c:ptCount val="12"/>
                <c:pt idx="0">
                  <c:v>11.75</c:v>
                </c:pt>
                <c:pt idx="1">
                  <c:v>12.3375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12.375</c:v>
                </c:pt>
                <c:pt idx="10">
                  <c:v>10.25</c:v>
                </c:pt>
                <c:pt idx="11">
                  <c:v>4.375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1A-44E7-AABD-CB1973721247}"/>
            </c:ext>
          </c:extLst>
        </c:ser>
        <c:ser>
          <c:idx val="2"/>
          <c:order val="2"/>
          <c:tx>
            <c:strRef>
              <c:f>Lines!$V$32</c:f>
              <c:strCache>
                <c:ptCount val="1"/>
                <c:pt idx="0">
                  <c:v>WL 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(Lines!$X$32,Lines!$AA$29:$AK$29,Lines!$AL$32)</c:f>
              <c:numCache>
                <c:formatCode>General</c:formatCode>
                <c:ptCount val="13"/>
                <c:pt idx="0">
                  <c:v>-5.2500000000000009</c:v>
                </c:pt>
                <c:pt idx="1">
                  <c:v>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105</c:v>
                </c:pt>
                <c:pt idx="9">
                  <c:v>120</c:v>
                </c:pt>
                <c:pt idx="10">
                  <c:v>135</c:v>
                </c:pt>
                <c:pt idx="11">
                  <c:v>150</c:v>
                </c:pt>
                <c:pt idx="12">
                  <c:v>151.94999999999999</c:v>
                </c:pt>
              </c:numCache>
            </c:numRef>
          </c:xVal>
          <c:yVal>
            <c:numRef>
              <c:f>(Lines!$Y$32,Lines!$AA$32:$AK$32,Lines!$AM$32)</c:f>
              <c:numCache>
                <c:formatCode>General</c:formatCode>
                <c:ptCount val="13"/>
                <c:pt idx="0">
                  <c:v>11.375</c:v>
                </c:pt>
                <c:pt idx="1">
                  <c:v>12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</c:v>
                </c:pt>
                <c:pt idx="10">
                  <c:v>9.25</c:v>
                </c:pt>
                <c:pt idx="11">
                  <c:v>2.5</c:v>
                </c:pt>
                <c:pt idx="12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1A-44E7-AABD-CB1973721247}"/>
            </c:ext>
          </c:extLst>
        </c:ser>
        <c:ser>
          <c:idx val="3"/>
          <c:order val="3"/>
          <c:tx>
            <c:strRef>
              <c:f>Lines!$V$33</c:f>
              <c:strCache>
                <c:ptCount val="1"/>
                <c:pt idx="0">
                  <c:v>WL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(Lines!$X$33,Lines!$AA$29:$AK$29,Lines!$AL$33)</c:f>
              <c:numCache>
                <c:formatCode>General</c:formatCode>
                <c:ptCount val="13"/>
                <c:pt idx="0">
                  <c:v>-4.5</c:v>
                </c:pt>
                <c:pt idx="1">
                  <c:v>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105</c:v>
                </c:pt>
                <c:pt idx="9">
                  <c:v>120</c:v>
                </c:pt>
                <c:pt idx="10">
                  <c:v>135</c:v>
                </c:pt>
                <c:pt idx="11">
                  <c:v>150</c:v>
                </c:pt>
                <c:pt idx="12">
                  <c:v>150.9</c:v>
                </c:pt>
              </c:numCache>
            </c:numRef>
          </c:xVal>
          <c:yVal>
            <c:numRef>
              <c:f>(Lines!$Y$33,Lines!$AA$33:$AK$33,Lines!$AM$33)</c:f>
              <c:numCache>
                <c:formatCode>General</c:formatCode>
                <c:ptCount val="13"/>
                <c:pt idx="0">
                  <c:v>9.375</c:v>
                </c:pt>
                <c:pt idx="1">
                  <c:v>10.5</c:v>
                </c:pt>
                <c:pt idx="2">
                  <c:v>12.125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11.25</c:v>
                </c:pt>
                <c:pt idx="10">
                  <c:v>7.875</c:v>
                </c:pt>
                <c:pt idx="11">
                  <c:v>1</c:v>
                </c:pt>
                <c:pt idx="12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1A-44E7-AABD-CB1973721247}"/>
            </c:ext>
          </c:extLst>
        </c:ser>
        <c:ser>
          <c:idx val="4"/>
          <c:order val="4"/>
          <c:tx>
            <c:strRef>
              <c:f>Lines!$V$34</c:f>
              <c:strCache>
                <c:ptCount val="1"/>
                <c:pt idx="0">
                  <c:v>CWL 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(Lines!$X$34,Lines!$AA$29:$AK$29,Lines!$AL$34)</c:f>
              <c:numCache>
                <c:formatCode>General</c:formatCode>
                <c:ptCount val="13"/>
                <c:pt idx="0">
                  <c:v>-3.75</c:v>
                </c:pt>
                <c:pt idx="1">
                  <c:v>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105</c:v>
                </c:pt>
                <c:pt idx="9">
                  <c:v>120</c:v>
                </c:pt>
                <c:pt idx="10">
                  <c:v>135</c:v>
                </c:pt>
                <c:pt idx="11">
                  <c:v>150</c:v>
                </c:pt>
                <c:pt idx="12">
                  <c:v>150</c:v>
                </c:pt>
              </c:numCache>
            </c:numRef>
          </c:xVal>
          <c:yVal>
            <c:numRef>
              <c:f>(Lines!$Y$34,Lines!$AA$34:$AK$34,Lines!$AM$34)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10.875</c:v>
                </c:pt>
                <c:pt idx="3">
                  <c:v>12.3125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12.25</c:v>
                </c:pt>
                <c:pt idx="9">
                  <c:v>10.25</c:v>
                </c:pt>
                <c:pt idx="10">
                  <c:v>6.125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1A-44E7-AABD-CB1973721247}"/>
            </c:ext>
          </c:extLst>
        </c:ser>
        <c:ser>
          <c:idx val="5"/>
          <c:order val="5"/>
          <c:tx>
            <c:strRef>
              <c:f>Lines!$V$35</c:f>
              <c:strCache>
                <c:ptCount val="1"/>
                <c:pt idx="0">
                  <c:v>WL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(Lines!$AA$29:$AK$29,Lines!$AL$35)</c:f>
              <c:numCache>
                <c:formatCode>General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150</c:v>
                </c:pt>
              </c:numCache>
            </c:numRef>
          </c:xVal>
          <c:yVal>
            <c:numRef>
              <c:f>(Lines!$AA$35:$AK$35,Lines!$AM$35)</c:f>
              <c:numCache>
                <c:formatCode>General</c:formatCode>
                <c:ptCount val="12"/>
                <c:pt idx="0">
                  <c:v>-5</c:v>
                </c:pt>
                <c:pt idx="1">
                  <c:v>8.125</c:v>
                </c:pt>
                <c:pt idx="2">
                  <c:v>11.625</c:v>
                </c:pt>
                <c:pt idx="3">
                  <c:v>12.4625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11.875</c:v>
                </c:pt>
                <c:pt idx="8">
                  <c:v>9.5</c:v>
                </c:pt>
                <c:pt idx="9">
                  <c:v>5.125</c:v>
                </c:pt>
                <c:pt idx="10">
                  <c:v>0.125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1A-44E7-AABD-CB1973721247}"/>
            </c:ext>
          </c:extLst>
        </c:ser>
        <c:ser>
          <c:idx val="6"/>
          <c:order val="6"/>
          <c:tx>
            <c:strRef>
              <c:f>Lines!$V$36</c:f>
              <c:strCache>
                <c:ptCount val="1"/>
                <c:pt idx="0">
                  <c:v>WL 3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(Lines!$AA$29:$AK$29,Lines!$AL$36)</c:f>
              <c:numCache>
                <c:formatCode>General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151.19999999999999</c:v>
                </c:pt>
              </c:numCache>
            </c:numRef>
          </c:xVal>
          <c:yVal>
            <c:numRef>
              <c:f>(Lines!$AA$36:$AK$36,Lines!$AM$36)</c:f>
              <c:numCache>
                <c:formatCode>General</c:formatCode>
                <c:ptCount val="12"/>
                <c:pt idx="0">
                  <c:v>-12.5</c:v>
                </c:pt>
                <c:pt idx="1">
                  <c:v>2.5</c:v>
                </c:pt>
                <c:pt idx="2">
                  <c:v>10</c:v>
                </c:pt>
                <c:pt idx="3">
                  <c:v>12.25</c:v>
                </c:pt>
                <c:pt idx="4">
                  <c:v>12.5</c:v>
                </c:pt>
                <c:pt idx="5">
                  <c:v>12.5</c:v>
                </c:pt>
                <c:pt idx="6">
                  <c:v>12.375</c:v>
                </c:pt>
                <c:pt idx="7">
                  <c:v>11.25</c:v>
                </c:pt>
                <c:pt idx="8">
                  <c:v>8.375</c:v>
                </c:pt>
                <c:pt idx="9">
                  <c:v>4.125</c:v>
                </c:pt>
                <c:pt idx="10">
                  <c:v>0.75</c:v>
                </c:pt>
                <c:pt idx="1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1A-44E7-AABD-CB1973721247}"/>
            </c:ext>
          </c:extLst>
        </c:ser>
        <c:ser>
          <c:idx val="7"/>
          <c:order val="7"/>
          <c:tx>
            <c:strRef>
              <c:f>Lines!$V$37</c:f>
              <c:strCache>
                <c:ptCount val="1"/>
                <c:pt idx="0">
                  <c:v>WL 2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(Lines!$AA$29:$AK$29,Lines!$AL$37)</c:f>
              <c:numCache>
                <c:formatCode>General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152.24999999999997</c:v>
                </c:pt>
              </c:numCache>
            </c:numRef>
          </c:xVal>
          <c:yVal>
            <c:numRef>
              <c:f>(Lines!$AA$37:$AK$37,Lines!$AM$37)</c:f>
              <c:numCache>
                <c:formatCode>General</c:formatCode>
                <c:ptCount val="12"/>
                <c:pt idx="0">
                  <c:v>-25</c:v>
                </c:pt>
                <c:pt idx="1">
                  <c:v>-2.5</c:v>
                </c:pt>
                <c:pt idx="2">
                  <c:v>7.2499999999999991</c:v>
                </c:pt>
                <c:pt idx="3">
                  <c:v>11.625</c:v>
                </c:pt>
                <c:pt idx="4">
                  <c:v>12.4375</c:v>
                </c:pt>
                <c:pt idx="5">
                  <c:v>12.4375</c:v>
                </c:pt>
                <c:pt idx="6">
                  <c:v>12</c:v>
                </c:pt>
                <c:pt idx="7">
                  <c:v>10.25</c:v>
                </c:pt>
                <c:pt idx="8">
                  <c:v>7.0000000000000009</c:v>
                </c:pt>
                <c:pt idx="9">
                  <c:v>3</c:v>
                </c:pt>
                <c:pt idx="10">
                  <c:v>0.87500000000000011</c:v>
                </c:pt>
                <c:pt idx="11">
                  <c:v>0.625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1A-44E7-AABD-CB1973721247}"/>
            </c:ext>
          </c:extLst>
        </c:ser>
        <c:ser>
          <c:idx val="8"/>
          <c:order val="8"/>
          <c:tx>
            <c:strRef>
              <c:f>Lines!$V$38</c:f>
              <c:strCache>
                <c:ptCount val="1"/>
                <c:pt idx="0">
                  <c:v>WL 1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Lines!$AA$29:$AK$29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(Lines!$AA$38:$AK$38,Lines!$AM$38)</c:f>
              <c:numCache>
                <c:formatCode>General</c:formatCode>
                <c:ptCount val="12"/>
                <c:pt idx="0">
                  <c:v>-25</c:v>
                </c:pt>
                <c:pt idx="1">
                  <c:v>-6.25</c:v>
                </c:pt>
                <c:pt idx="2">
                  <c:v>4.125</c:v>
                </c:pt>
                <c:pt idx="3">
                  <c:v>10</c:v>
                </c:pt>
                <c:pt idx="4">
                  <c:v>12.125</c:v>
                </c:pt>
                <c:pt idx="5">
                  <c:v>12.125</c:v>
                </c:pt>
                <c:pt idx="6">
                  <c:v>11</c:v>
                </c:pt>
                <c:pt idx="7">
                  <c:v>8.625</c:v>
                </c:pt>
                <c:pt idx="8">
                  <c:v>5</c:v>
                </c:pt>
                <c:pt idx="9">
                  <c:v>1.7500000000000002</c:v>
                </c:pt>
                <c:pt idx="10">
                  <c:v>0.75</c:v>
                </c:pt>
                <c:pt idx="1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E1A-44E7-AABD-CB1973721247}"/>
            </c:ext>
          </c:extLst>
        </c:ser>
        <c:ser>
          <c:idx val="9"/>
          <c:order val="9"/>
          <c:tx>
            <c:strRef>
              <c:f>Lines!$V$39</c:f>
              <c:strCache>
                <c:ptCount val="1"/>
                <c:pt idx="0">
                  <c:v>WL 1/2</c:v>
                </c:pt>
              </c:strCache>
            </c:strRef>
          </c:tx>
          <c:marker>
            <c:symbol val="none"/>
          </c:marker>
          <c:xVal>
            <c:numRef>
              <c:f>(Lines!$AA$29:$AK$29,Lines!$AL$39)</c:f>
              <c:numCache>
                <c:formatCode>General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151.94999999999999</c:v>
                </c:pt>
              </c:numCache>
            </c:numRef>
          </c:xVal>
          <c:yVal>
            <c:numRef>
              <c:f>(Lines!$AA$39:$AK$39,Lines!$AM$39)</c:f>
              <c:numCache>
                <c:formatCode>General</c:formatCode>
                <c:ptCount val="12"/>
                <c:pt idx="0">
                  <c:v>-25</c:v>
                </c:pt>
                <c:pt idx="1">
                  <c:v>-8.75</c:v>
                </c:pt>
                <c:pt idx="2">
                  <c:v>1.625</c:v>
                </c:pt>
                <c:pt idx="3">
                  <c:v>8.375</c:v>
                </c:pt>
                <c:pt idx="4">
                  <c:v>11.625</c:v>
                </c:pt>
                <c:pt idx="5">
                  <c:v>11.625</c:v>
                </c:pt>
                <c:pt idx="6">
                  <c:v>10</c:v>
                </c:pt>
                <c:pt idx="7">
                  <c:v>6.8750000000000009</c:v>
                </c:pt>
                <c:pt idx="8">
                  <c:v>3.5000000000000004</c:v>
                </c:pt>
                <c:pt idx="9">
                  <c:v>1</c:v>
                </c:pt>
                <c:pt idx="10">
                  <c:v>0.5</c:v>
                </c:pt>
                <c:pt idx="11">
                  <c:v>0.375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E1A-44E7-AABD-CB1973721247}"/>
            </c:ext>
          </c:extLst>
        </c:ser>
        <c:ser>
          <c:idx val="10"/>
          <c:order val="10"/>
          <c:tx>
            <c:strRef>
              <c:f>Lines!$V$40</c:f>
              <c:strCache>
                <c:ptCount val="1"/>
                <c:pt idx="0">
                  <c:v>WL 1/10</c:v>
                </c:pt>
              </c:strCache>
            </c:strRef>
          </c:tx>
          <c:marker>
            <c:symbol val="none"/>
          </c:marker>
          <c:xVal>
            <c:numRef>
              <c:f>Lines!$AA$29:$AK$29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Lines!$AA$40:$AK$40</c:f>
              <c:numCache>
                <c:formatCode>General</c:formatCode>
                <c:ptCount val="11"/>
                <c:pt idx="0">
                  <c:v>-25</c:v>
                </c:pt>
                <c:pt idx="1">
                  <c:v>-12.5</c:v>
                </c:pt>
                <c:pt idx="2">
                  <c:v>-1.875</c:v>
                </c:pt>
                <c:pt idx="3">
                  <c:v>5.875</c:v>
                </c:pt>
                <c:pt idx="4">
                  <c:v>10.5</c:v>
                </c:pt>
                <c:pt idx="5">
                  <c:v>10.5</c:v>
                </c:pt>
                <c:pt idx="6">
                  <c:v>8.125</c:v>
                </c:pt>
                <c:pt idx="7">
                  <c:v>4.5</c:v>
                </c:pt>
                <c:pt idx="8">
                  <c:v>1.7500000000000002</c:v>
                </c:pt>
                <c:pt idx="9">
                  <c:v>0.1875</c:v>
                </c:pt>
                <c:pt idx="10">
                  <c:v>0.125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E1A-44E7-AABD-CB1973721247}"/>
            </c:ext>
          </c:extLst>
        </c:ser>
        <c:ser>
          <c:idx val="11"/>
          <c:order val="1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Lines!$AE$3:$AE$4</c:f>
              <c:numCache>
                <c:formatCode>General</c:formatCode>
                <c:ptCount val="2"/>
                <c:pt idx="0">
                  <c:v>-6</c:v>
                </c:pt>
                <c:pt idx="1">
                  <c:v>-6</c:v>
                </c:pt>
              </c:numCache>
            </c:numRef>
          </c:xVal>
          <c:yVal>
            <c:numRef>
              <c:f>Lines!$AF$3:$AF$4</c:f>
              <c:numCache>
                <c:formatCode>General</c:formatCode>
                <c:ptCount val="2"/>
                <c:pt idx="0">
                  <c:v>0</c:v>
                </c:pt>
                <c:pt idx="1">
                  <c:v>11.875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E1A-44E7-AABD-CB1973721247}"/>
            </c:ext>
          </c:extLst>
        </c:ser>
        <c:ser>
          <c:idx val="12"/>
          <c:order val="1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Lines!$AE$5:$AE$6</c:f>
              <c:numCache>
                <c:formatCode>General</c:formatCode>
                <c:ptCount val="2"/>
                <c:pt idx="0">
                  <c:v>-5.7</c:v>
                </c:pt>
                <c:pt idx="1">
                  <c:v>-5.7</c:v>
                </c:pt>
              </c:numCache>
            </c:numRef>
          </c:xVal>
          <c:yVal>
            <c:numRef>
              <c:f>Lines!$AF$5:$AF$6</c:f>
              <c:numCache>
                <c:formatCode>General</c:formatCode>
                <c:ptCount val="2"/>
                <c:pt idx="0">
                  <c:v>0</c:v>
                </c:pt>
                <c:pt idx="1">
                  <c:v>11.75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E1A-44E7-AABD-CB1973721247}"/>
            </c:ext>
          </c:extLst>
        </c:ser>
        <c:ser>
          <c:idx val="13"/>
          <c:order val="1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Lines!$AE$7:$AE$8</c:f>
              <c:numCache>
                <c:formatCode>General</c:formatCode>
                <c:ptCount val="2"/>
                <c:pt idx="0">
                  <c:v>-5.2500000000000009</c:v>
                </c:pt>
                <c:pt idx="1">
                  <c:v>-5.2500000000000009</c:v>
                </c:pt>
              </c:numCache>
            </c:numRef>
          </c:xVal>
          <c:yVal>
            <c:numRef>
              <c:f>Lines!$AF$7:$AF$8</c:f>
              <c:numCache>
                <c:formatCode>General</c:formatCode>
                <c:ptCount val="2"/>
                <c:pt idx="0">
                  <c:v>0</c:v>
                </c:pt>
                <c:pt idx="1">
                  <c:v>11.375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E1A-44E7-AABD-CB1973721247}"/>
            </c:ext>
          </c:extLst>
        </c:ser>
        <c:ser>
          <c:idx val="14"/>
          <c:order val="14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Lines!$AE$9:$AE$10</c:f>
              <c:numCache>
                <c:formatCode>General</c:formatCode>
                <c:ptCount val="2"/>
                <c:pt idx="0">
                  <c:v>-4.5</c:v>
                </c:pt>
                <c:pt idx="1">
                  <c:v>-4.5</c:v>
                </c:pt>
              </c:numCache>
            </c:numRef>
          </c:xVal>
          <c:yVal>
            <c:numRef>
              <c:f>Lines!$AF$9:$AF$10</c:f>
              <c:numCache>
                <c:formatCode>General</c:formatCode>
                <c:ptCount val="2"/>
                <c:pt idx="0">
                  <c:v>0</c:v>
                </c:pt>
                <c:pt idx="1">
                  <c:v>9.375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1E1A-44E7-AABD-CB1973721247}"/>
            </c:ext>
          </c:extLst>
        </c:ser>
        <c:ser>
          <c:idx val="15"/>
          <c:order val="15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Lines!$AE$11:$AE$12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Lines!$AF$11:$AF$12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E1A-44E7-AABD-CB1973721247}"/>
            </c:ext>
          </c:extLst>
        </c:ser>
        <c:ser>
          <c:idx val="16"/>
          <c:order val="16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Lines!$AG$3:$AG$4</c:f>
              <c:numCache>
                <c:formatCode>General</c:formatCode>
                <c:ptCount val="2"/>
                <c:pt idx="0">
                  <c:v>154.5</c:v>
                </c:pt>
                <c:pt idx="1">
                  <c:v>154.5</c:v>
                </c:pt>
              </c:numCache>
            </c:numRef>
          </c:xVal>
          <c:yVal>
            <c:numRef>
              <c:f>Lines!$AH$3:$AH$4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E1A-44E7-AABD-CB1973721247}"/>
            </c:ext>
          </c:extLst>
        </c:ser>
        <c:ser>
          <c:idx val="17"/>
          <c:order val="1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Lines!$AG$5:$AG$6</c:f>
              <c:numCache>
                <c:formatCode>General</c:formatCode>
                <c:ptCount val="2"/>
                <c:pt idx="0">
                  <c:v>153.30000000000001</c:v>
                </c:pt>
                <c:pt idx="1">
                  <c:v>153.30000000000001</c:v>
                </c:pt>
              </c:numCache>
            </c:numRef>
          </c:xVal>
          <c:yVal>
            <c:numRef>
              <c:f>Lines!$AH$5:$AH$6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E1A-44E7-AABD-CB1973721247}"/>
            </c:ext>
          </c:extLst>
        </c:ser>
        <c:ser>
          <c:idx val="18"/>
          <c:order val="18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Lines!$AG$7:$AG$8</c:f>
              <c:numCache>
                <c:formatCode>General</c:formatCode>
                <c:ptCount val="2"/>
                <c:pt idx="0">
                  <c:v>151.94999999999999</c:v>
                </c:pt>
                <c:pt idx="1">
                  <c:v>151.94999999999999</c:v>
                </c:pt>
              </c:numCache>
            </c:numRef>
          </c:xVal>
          <c:yVal>
            <c:numRef>
              <c:f>Lines!$AH$7:$AH$8</c:f>
              <c:numCache>
                <c:formatCode>General</c:formatCode>
                <c:ptCount val="2"/>
                <c:pt idx="0">
                  <c:v>0</c:v>
                </c:pt>
                <c:pt idx="1">
                  <c:v>0.75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E1A-44E7-AABD-CB1973721247}"/>
            </c:ext>
          </c:extLst>
        </c:ser>
        <c:ser>
          <c:idx val="19"/>
          <c:order val="19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Lines!$AG$9:$AG$10</c:f>
              <c:numCache>
                <c:formatCode>General</c:formatCode>
                <c:ptCount val="2"/>
                <c:pt idx="0">
                  <c:v>150.9</c:v>
                </c:pt>
                <c:pt idx="1">
                  <c:v>150.9</c:v>
                </c:pt>
              </c:numCache>
            </c:numRef>
          </c:xVal>
          <c:yVal>
            <c:numRef>
              <c:f>Lines!$AH$9:$AH$10</c:f>
              <c:numCache>
                <c:formatCode>General</c:formatCode>
                <c:ptCount val="2"/>
                <c:pt idx="0">
                  <c:v>0</c:v>
                </c:pt>
                <c:pt idx="1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E1A-44E7-AABD-CB1973721247}"/>
            </c:ext>
          </c:extLst>
        </c:ser>
        <c:ser>
          <c:idx val="20"/>
          <c:order val="2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Lines!$AG$11:$AG$12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Lines!$AH$11:$AH$12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E1A-44E7-AABD-CB1973721247}"/>
            </c:ext>
          </c:extLst>
        </c:ser>
        <c:ser>
          <c:idx val="21"/>
          <c:order val="21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Lines!$AG$13:$AG$14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Lines!$AH$13:$AH$14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E1A-44E7-AABD-CB1973721247}"/>
            </c:ext>
          </c:extLst>
        </c:ser>
        <c:ser>
          <c:idx val="22"/>
          <c:order val="2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Lines!$AG$15:$AG$16</c:f>
              <c:numCache>
                <c:formatCode>General</c:formatCode>
                <c:ptCount val="2"/>
                <c:pt idx="0">
                  <c:v>151.19999999999999</c:v>
                </c:pt>
                <c:pt idx="1">
                  <c:v>151.19999999999999</c:v>
                </c:pt>
              </c:numCache>
            </c:numRef>
          </c:xVal>
          <c:yVal>
            <c:numRef>
              <c:f>Lines!$AH$15:$AH$16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E1A-44E7-AABD-CB1973721247}"/>
            </c:ext>
          </c:extLst>
        </c:ser>
        <c:ser>
          <c:idx val="23"/>
          <c:order val="23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Lines!$AG$17:$AG$18</c:f>
              <c:numCache>
                <c:formatCode>General</c:formatCode>
                <c:ptCount val="2"/>
                <c:pt idx="0">
                  <c:v>152.24999999999997</c:v>
                </c:pt>
                <c:pt idx="1">
                  <c:v>152.24999999999997</c:v>
                </c:pt>
              </c:numCache>
            </c:numRef>
          </c:xVal>
          <c:yVal>
            <c:numRef>
              <c:f>Lines!$AH$17:$AH$18</c:f>
              <c:numCache>
                <c:formatCode>General</c:formatCode>
                <c:ptCount val="2"/>
                <c:pt idx="0">
                  <c:v>0</c:v>
                </c:pt>
                <c:pt idx="1">
                  <c:v>0.625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E1A-44E7-AABD-CB1973721247}"/>
            </c:ext>
          </c:extLst>
        </c:ser>
        <c:ser>
          <c:idx val="24"/>
          <c:order val="24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Lines!$AG$19:$AG$20</c:f>
              <c:numCache>
                <c:formatCode>General</c:formatCode>
                <c:ptCount val="2"/>
                <c:pt idx="0">
                  <c:v>152.24999999999997</c:v>
                </c:pt>
                <c:pt idx="1">
                  <c:v>152.24999999999997</c:v>
                </c:pt>
              </c:numCache>
            </c:numRef>
          </c:xVal>
          <c:yVal>
            <c:numRef>
              <c:f>Lines!$AH$19:$AH$20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1E1A-44E7-AABD-CB1973721247}"/>
            </c:ext>
          </c:extLst>
        </c:ser>
        <c:ser>
          <c:idx val="25"/>
          <c:order val="25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Lines!$AG$21:$AG$22</c:f>
              <c:numCache>
                <c:formatCode>General</c:formatCode>
                <c:ptCount val="2"/>
                <c:pt idx="0">
                  <c:v>151.94999999999999</c:v>
                </c:pt>
                <c:pt idx="1">
                  <c:v>151.94999999999999</c:v>
                </c:pt>
              </c:numCache>
            </c:numRef>
          </c:xVal>
          <c:yVal>
            <c:numRef>
              <c:f>Lines!$AH$21:$AH$22</c:f>
              <c:numCache>
                <c:formatCode>General</c:formatCode>
                <c:ptCount val="2"/>
                <c:pt idx="0">
                  <c:v>0</c:v>
                </c:pt>
                <c:pt idx="1">
                  <c:v>0.375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E1A-44E7-AABD-CB1973721247}"/>
            </c:ext>
          </c:extLst>
        </c:ser>
        <c:ser>
          <c:idx val="26"/>
          <c:order val="26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Lines!$AA$3:$AA$4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Lines!$AB$3:$AB$4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E1A-44E7-AABD-CB1973721247}"/>
            </c:ext>
          </c:extLst>
        </c:ser>
        <c:ser>
          <c:idx val="27"/>
          <c:order val="27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Lines!$AA$5:$AA$6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Lines!$AB$5:$AB$6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1E1A-44E7-AABD-CB1973721247}"/>
            </c:ext>
          </c:extLst>
        </c:ser>
        <c:ser>
          <c:idx val="28"/>
          <c:order val="2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Lines!$AA$7:$AA$8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Lines!$AB$7:$AB$8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1E1A-44E7-AABD-CB1973721247}"/>
            </c:ext>
          </c:extLst>
        </c:ser>
        <c:ser>
          <c:idx val="29"/>
          <c:order val="29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Lines!$AA$9:$AA$10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Lines!$AB$9:$AB$10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1E1A-44E7-AABD-CB1973721247}"/>
            </c:ext>
          </c:extLst>
        </c:ser>
        <c:ser>
          <c:idx val="30"/>
          <c:order val="30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Lines!$AA$11:$AA$12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Lines!$AB$11:$AB$12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E1A-44E7-AABD-CB1973721247}"/>
            </c:ext>
          </c:extLst>
        </c:ser>
        <c:ser>
          <c:idx val="31"/>
          <c:order val="3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Lines!$AA$13:$AA$14</c:f>
              <c:numCache>
                <c:formatCode>General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xVal>
          <c:yVal>
            <c:numRef>
              <c:f>Lines!$AB$13:$AB$14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E1A-44E7-AABD-CB1973721247}"/>
            </c:ext>
          </c:extLst>
        </c:ser>
        <c:ser>
          <c:idx val="32"/>
          <c:order val="3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Lines!$AA$15:$AA$16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xVal>
          <c:yVal>
            <c:numRef>
              <c:f>Lines!$AB$15:$AB$16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E1A-44E7-AABD-CB1973721247}"/>
            </c:ext>
          </c:extLst>
        </c:ser>
        <c:ser>
          <c:idx val="33"/>
          <c:order val="33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Lines!$AA$17:$AA$18</c:f>
              <c:numCache>
                <c:formatCode>General</c:formatCode>
                <c:ptCount val="2"/>
                <c:pt idx="0">
                  <c:v>105</c:v>
                </c:pt>
                <c:pt idx="1">
                  <c:v>105</c:v>
                </c:pt>
              </c:numCache>
            </c:numRef>
          </c:xVal>
          <c:yVal>
            <c:numRef>
              <c:f>Lines!$AB$17:$AB$18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1E1A-44E7-AABD-CB1973721247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Lines!$AA$19:$AA$20</c:f>
              <c:numCache>
                <c:formatCode>General</c:formatCode>
                <c:ptCount val="2"/>
                <c:pt idx="0">
                  <c:v>120</c:v>
                </c:pt>
                <c:pt idx="1">
                  <c:v>120</c:v>
                </c:pt>
              </c:numCache>
            </c:numRef>
          </c:xVal>
          <c:yVal>
            <c:numRef>
              <c:f>Lines!$AB$19:$AB$20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E1A-44E7-AABD-CB1973721247}"/>
            </c:ext>
          </c:extLst>
        </c:ser>
        <c:ser>
          <c:idx val="35"/>
          <c:order val="35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Lines!$AA$21:$AA$22</c:f>
              <c:numCache>
                <c:formatCode>General</c:formatCode>
                <c:ptCount val="2"/>
                <c:pt idx="0">
                  <c:v>135</c:v>
                </c:pt>
                <c:pt idx="1">
                  <c:v>135</c:v>
                </c:pt>
              </c:numCache>
            </c:numRef>
          </c:xVal>
          <c:yVal>
            <c:numRef>
              <c:f>Lines!$AB$21:$AB$22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1E1A-44E7-AABD-CB1973721247}"/>
            </c:ext>
          </c:extLst>
        </c:ser>
        <c:ser>
          <c:idx val="36"/>
          <c:order val="36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Lines!$AA$23:$AA$24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Lines!$AB$23:$AB$24</c:f>
              <c:numCache>
                <c:formatCode>General</c:formatCode>
                <c:ptCount val="2"/>
                <c:pt idx="0">
                  <c:v>0</c:v>
                </c:pt>
                <c:pt idx="1">
                  <c:v>13.750000000000002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E1A-44E7-AABD-CB1973721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203832"/>
        <c:axId val="1"/>
      </c:scatterChart>
      <c:valAx>
        <c:axId val="787203832"/>
        <c:scaling>
          <c:orientation val="minMax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[ m ]</a:t>
                </a:r>
              </a:p>
            </c:rich>
          </c:tx>
          <c:layout>
            <c:manualLayout>
              <c:xMode val="edge"/>
              <c:yMode val="edge"/>
              <c:x val="0.50263536946960008"/>
              <c:y val="0.825926672749089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 [ m ]</a:t>
                </a:r>
              </a:p>
            </c:rich>
          </c:tx>
          <c:layout>
            <c:manualLayout>
              <c:xMode val="edge"/>
              <c:yMode val="edge"/>
              <c:x val="1.3834000994576151E-2"/>
              <c:y val="0.392592947584768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203832"/>
        <c:crossesAt val="-1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60011546477125"/>
          <c:y val="2.9411789848083885E-2"/>
          <c:w val="0.74058716100525512"/>
          <c:h val="0.8823536954425164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Lines!$AR$26</c:f>
              <c:strCache>
                <c:ptCount val="1"/>
                <c:pt idx="0">
                  <c:v>Transom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Lines!$AR$28:$AR$32</c:f>
              <c:numCache>
                <c:formatCode>General</c:formatCode>
                <c:ptCount val="5"/>
                <c:pt idx="0">
                  <c:v>-11.875</c:v>
                </c:pt>
                <c:pt idx="1">
                  <c:v>-11.75</c:v>
                </c:pt>
                <c:pt idx="2">
                  <c:v>-11.375</c:v>
                </c:pt>
                <c:pt idx="3">
                  <c:v>-9.375</c:v>
                </c:pt>
                <c:pt idx="4">
                  <c:v>0</c:v>
                </c:pt>
              </c:numCache>
            </c:numRef>
          </c:xVal>
          <c:yVal>
            <c:numRef>
              <c:f>Lines!$AQ$28:$AQ$32</c:f>
              <c:numCache>
                <c:formatCode>General</c:formatCode>
                <c:ptCount val="5"/>
                <c:pt idx="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07-4BC4-97C0-7F61BC084819}"/>
            </c:ext>
          </c:extLst>
        </c:ser>
        <c:ser>
          <c:idx val="1"/>
          <c:order val="1"/>
          <c:tx>
            <c:strRef>
              <c:f>Lines!$AS$26</c:f>
              <c:strCache>
                <c:ptCount val="1"/>
                <c:pt idx="0">
                  <c:v>Fr 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Lines!$AS$28:$AS$39</c:f>
              <c:numCache>
                <c:formatCode>General</c:formatCode>
                <c:ptCount val="12"/>
                <c:pt idx="0">
                  <c:v>-12.375</c:v>
                </c:pt>
                <c:pt idx="1">
                  <c:v>-12.3375</c:v>
                </c:pt>
                <c:pt idx="2">
                  <c:v>-12</c:v>
                </c:pt>
                <c:pt idx="3">
                  <c:v>-10.5</c:v>
                </c:pt>
                <c:pt idx="4">
                  <c:v>-5</c:v>
                </c:pt>
                <c:pt idx="5">
                  <c:v>5</c:v>
                </c:pt>
                <c:pt idx="6">
                  <c:v>12.5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</c:numCache>
            </c:numRef>
          </c:xVal>
          <c:yVal>
            <c:numRef>
              <c:f>Lines!$AQ$28:$AQ$39</c:f>
              <c:numCache>
                <c:formatCode>General</c:formatCode>
                <c:ptCount val="12"/>
                <c:pt idx="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07-4BC4-97C0-7F61BC084819}"/>
            </c:ext>
          </c:extLst>
        </c:ser>
        <c:ser>
          <c:idx val="2"/>
          <c:order val="2"/>
          <c:tx>
            <c:strRef>
              <c:f>Lines!$AT$26</c:f>
              <c:strCache>
                <c:ptCount val="1"/>
                <c:pt idx="0">
                  <c:v>Fr 1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Lines!$AT$28:$AT$39</c:f>
              <c:numCache>
                <c:formatCode>General</c:formatCode>
                <c:ptCount val="12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-12.125</c:v>
                </c:pt>
                <c:pt idx="4">
                  <c:v>-10.875</c:v>
                </c:pt>
                <c:pt idx="5">
                  <c:v>-8.125</c:v>
                </c:pt>
                <c:pt idx="6">
                  <c:v>-2.5</c:v>
                </c:pt>
                <c:pt idx="7">
                  <c:v>2.5</c:v>
                </c:pt>
                <c:pt idx="8">
                  <c:v>6.25</c:v>
                </c:pt>
                <c:pt idx="9">
                  <c:v>8.75</c:v>
                </c:pt>
                <c:pt idx="10">
                  <c:v>12.5</c:v>
                </c:pt>
                <c:pt idx="11">
                  <c:v>12.5</c:v>
                </c:pt>
              </c:numCache>
            </c:numRef>
          </c:xVal>
          <c:yVal>
            <c:numRef>
              <c:f>Lines!$AQ$28:$AQ$39</c:f>
              <c:numCache>
                <c:formatCode>General</c:formatCode>
                <c:ptCount val="12"/>
                <c:pt idx="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07-4BC4-97C0-7F61BC084819}"/>
            </c:ext>
          </c:extLst>
        </c:ser>
        <c:ser>
          <c:idx val="3"/>
          <c:order val="3"/>
          <c:tx>
            <c:strRef>
              <c:f>Lines!$AU$26</c:f>
              <c:strCache>
                <c:ptCount val="1"/>
                <c:pt idx="0">
                  <c:v>Fr 2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Lines!$AU$28:$AU$39</c:f>
              <c:numCache>
                <c:formatCode>General</c:formatCode>
                <c:ptCount val="12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-12.3125</c:v>
                </c:pt>
                <c:pt idx="5">
                  <c:v>-11.625</c:v>
                </c:pt>
                <c:pt idx="6">
                  <c:v>-10</c:v>
                </c:pt>
                <c:pt idx="7">
                  <c:v>-7.2499999999999991</c:v>
                </c:pt>
                <c:pt idx="8">
                  <c:v>-4.125</c:v>
                </c:pt>
                <c:pt idx="9">
                  <c:v>-1.625</c:v>
                </c:pt>
                <c:pt idx="10">
                  <c:v>1.875</c:v>
                </c:pt>
                <c:pt idx="11">
                  <c:v>2.5</c:v>
                </c:pt>
              </c:numCache>
            </c:numRef>
          </c:xVal>
          <c:yVal>
            <c:numRef>
              <c:f>Lines!$AQ$28:$AQ$39</c:f>
              <c:numCache>
                <c:formatCode>General</c:formatCode>
                <c:ptCount val="12"/>
                <c:pt idx="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07-4BC4-97C0-7F61BC084819}"/>
            </c:ext>
          </c:extLst>
        </c:ser>
        <c:ser>
          <c:idx val="4"/>
          <c:order val="4"/>
          <c:tx>
            <c:strRef>
              <c:f>Lines!$AV$26</c:f>
              <c:strCache>
                <c:ptCount val="1"/>
                <c:pt idx="0">
                  <c:v>Fr 3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Lines!$AV$28:$AV$39</c:f>
              <c:numCache>
                <c:formatCode>General</c:formatCode>
                <c:ptCount val="12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-12.5</c:v>
                </c:pt>
                <c:pt idx="5">
                  <c:v>-12.4625</c:v>
                </c:pt>
                <c:pt idx="6">
                  <c:v>-12.25</c:v>
                </c:pt>
                <c:pt idx="7">
                  <c:v>-11.625</c:v>
                </c:pt>
                <c:pt idx="8">
                  <c:v>-10</c:v>
                </c:pt>
                <c:pt idx="9">
                  <c:v>-8.375</c:v>
                </c:pt>
                <c:pt idx="10">
                  <c:v>-5.875</c:v>
                </c:pt>
                <c:pt idx="11">
                  <c:v>-5.625</c:v>
                </c:pt>
              </c:numCache>
            </c:numRef>
          </c:xVal>
          <c:yVal>
            <c:numRef>
              <c:f>Lines!$AQ$28:$AQ$39</c:f>
              <c:numCache>
                <c:formatCode>General</c:formatCode>
                <c:ptCount val="12"/>
                <c:pt idx="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07-4BC4-97C0-7F61BC084819}"/>
            </c:ext>
          </c:extLst>
        </c:ser>
        <c:ser>
          <c:idx val="5"/>
          <c:order val="5"/>
          <c:tx>
            <c:strRef>
              <c:f>Lines!$AW$26</c:f>
              <c:strCache>
                <c:ptCount val="1"/>
                <c:pt idx="0">
                  <c:v>Fr 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Lines!$AW$28:$AW$39</c:f>
              <c:numCache>
                <c:formatCode>General</c:formatCode>
                <c:ptCount val="12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-12.5</c:v>
                </c:pt>
                <c:pt idx="5">
                  <c:v>-12.5</c:v>
                </c:pt>
                <c:pt idx="6">
                  <c:v>-12.5</c:v>
                </c:pt>
                <c:pt idx="7">
                  <c:v>-12.4375</c:v>
                </c:pt>
                <c:pt idx="8">
                  <c:v>-12.125</c:v>
                </c:pt>
                <c:pt idx="9">
                  <c:v>-11.625</c:v>
                </c:pt>
                <c:pt idx="10">
                  <c:v>-10.5</c:v>
                </c:pt>
                <c:pt idx="11">
                  <c:v>-10</c:v>
                </c:pt>
              </c:numCache>
            </c:numRef>
          </c:xVal>
          <c:yVal>
            <c:numRef>
              <c:f>Lines!$AQ$28:$AQ$39</c:f>
              <c:numCache>
                <c:formatCode>General</c:formatCode>
                <c:ptCount val="12"/>
                <c:pt idx="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07-4BC4-97C0-7F61BC084819}"/>
            </c:ext>
          </c:extLst>
        </c:ser>
        <c:ser>
          <c:idx val="6"/>
          <c:order val="6"/>
          <c:tx>
            <c:strRef>
              <c:f>Lines!$AX$26</c:f>
              <c:strCache>
                <c:ptCount val="1"/>
                <c:pt idx="0">
                  <c:v>Fr 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Lines!$AX$28:$AX$40</c:f>
              <c:numCache>
                <c:formatCode>General</c:formatCode>
                <c:ptCount val="13"/>
                <c:pt idx="0">
                  <c:v>-12.5</c:v>
                </c:pt>
                <c:pt idx="1">
                  <c:v>-12.5</c:v>
                </c:pt>
                <c:pt idx="2">
                  <c:v>-12.5</c:v>
                </c:pt>
                <c:pt idx="3">
                  <c:v>-12.5</c:v>
                </c:pt>
                <c:pt idx="4">
                  <c:v>-12.5</c:v>
                </c:pt>
                <c:pt idx="5">
                  <c:v>-12.5</c:v>
                </c:pt>
                <c:pt idx="6">
                  <c:v>-12.5</c:v>
                </c:pt>
                <c:pt idx="7">
                  <c:v>-12.4375</c:v>
                </c:pt>
                <c:pt idx="8">
                  <c:v>-12.125</c:v>
                </c:pt>
                <c:pt idx="9">
                  <c:v>-11.625</c:v>
                </c:pt>
                <c:pt idx="10">
                  <c:v>-10.5</c:v>
                </c:pt>
                <c:pt idx="11">
                  <c:v>-10</c:v>
                </c:pt>
                <c:pt idx="12">
                  <c:v>0</c:v>
                </c:pt>
              </c:numCache>
            </c:numRef>
          </c:xVal>
          <c:yVal>
            <c:numRef>
              <c:f>Lines!$AQ$28:$AQ$40</c:f>
              <c:numCache>
                <c:formatCode>General</c:formatCode>
                <c:ptCount val="13"/>
                <c:pt idx="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07-4BC4-97C0-7F61BC084819}"/>
            </c:ext>
          </c:extLst>
        </c:ser>
        <c:ser>
          <c:idx val="7"/>
          <c:order val="7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Lines!$X$3:$X$4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Lines!$Y$3:$Y$4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07-4BC4-97C0-7F61BC084819}"/>
            </c:ext>
          </c:extLst>
        </c:ser>
        <c:ser>
          <c:idx val="8"/>
          <c:order val="8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Lines!$X$5:$X$6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Lines!$Y$5:$Y$6</c:f>
              <c:numCache>
                <c:formatCode>General</c:formatCode>
                <c:ptCount val="2"/>
                <c:pt idx="0">
                  <c:v>11.875</c:v>
                </c:pt>
                <c:pt idx="1">
                  <c:v>11.875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07-4BC4-97C0-7F61BC084819}"/>
            </c:ext>
          </c:extLst>
        </c:ser>
        <c:ser>
          <c:idx val="9"/>
          <c:order val="9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Lines!$X$7:$X$8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Lines!$Y$7:$Y$8</c:f>
              <c:numCache>
                <c:formatCode>General</c:formatCode>
                <c:ptCount val="2"/>
                <c:pt idx="0">
                  <c:v>9.75</c:v>
                </c:pt>
                <c:pt idx="1">
                  <c:v>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607-4BC4-97C0-7F61BC084819}"/>
            </c:ext>
          </c:extLst>
        </c:ser>
        <c:ser>
          <c:idx val="10"/>
          <c:order val="1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Lines!$X$9:$X$10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Lines!$Y$9:$Y$10</c:f>
              <c:numCache>
                <c:formatCode>General</c:formatCode>
                <c:ptCount val="2"/>
                <c:pt idx="0">
                  <c:v>7.625</c:v>
                </c:pt>
                <c:pt idx="1">
                  <c:v>7.625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607-4BC4-97C0-7F61BC084819}"/>
            </c:ext>
          </c:extLst>
        </c:ser>
        <c:ser>
          <c:idx val="11"/>
          <c:order val="1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Lines!$X$11:$X$12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Lines!$Y$11:$Y$12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607-4BC4-97C0-7F61BC084819}"/>
            </c:ext>
          </c:extLst>
        </c:ser>
        <c:ser>
          <c:idx val="12"/>
          <c:order val="12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Lines!$X$13:$X$14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Lines!$Y$13:$Y$14</c:f>
              <c:numCache>
                <c:formatCode>General</c:formatCode>
                <c:ptCount val="2"/>
                <c:pt idx="0">
                  <c:v>4.4000000000000004</c:v>
                </c:pt>
                <c:pt idx="1">
                  <c:v>4.4000000000000004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607-4BC4-97C0-7F61BC084819}"/>
            </c:ext>
          </c:extLst>
        </c:ser>
        <c:ser>
          <c:idx val="13"/>
          <c:order val="13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Lines!$X$15:$X$16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Lines!$Y$15:$Y$16</c:f>
              <c:numCache>
                <c:formatCode>General</c:formatCode>
                <c:ptCount val="2"/>
                <c:pt idx="0">
                  <c:v>3.3</c:v>
                </c:pt>
                <c:pt idx="1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607-4BC4-97C0-7F61BC084819}"/>
            </c:ext>
          </c:extLst>
        </c:ser>
        <c:ser>
          <c:idx val="14"/>
          <c:order val="14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Lines!$X$17:$X$18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Lines!$Y$17:$Y$18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607-4BC4-97C0-7F61BC084819}"/>
            </c:ext>
          </c:extLst>
        </c:ser>
        <c:ser>
          <c:idx val="15"/>
          <c:order val="15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Lines!$X$19:$X$20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Lines!$Y$19:$Y$20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607-4BC4-97C0-7F61BC08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205752"/>
        <c:axId val="1"/>
      </c:scatterChart>
      <c:valAx>
        <c:axId val="787205752"/>
        <c:scaling>
          <c:orientation val="minMax"/>
          <c:max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 [ m ]</a:t>
                </a:r>
              </a:p>
            </c:rich>
          </c:tx>
          <c:layout>
            <c:manualLayout>
              <c:xMode val="edge"/>
              <c:yMode val="edge"/>
              <c:x val="0.54951288406039656"/>
              <c:y val="0.952381766509382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87205752"/>
        <c:crosses val="autoZero"/>
        <c:crossBetween val="midCat"/>
      </c:valAx>
      <c:spPr>
        <a:solidFill>
          <a:srgbClr val="C0C0C0"/>
        </a:solidFill>
        <a:ln w="12700">
          <a:solidFill>
            <a:schemeClr val="bg2">
              <a:lumMod val="50000"/>
            </a:schemeClr>
          </a:solidFill>
          <a:prstDash val="solid"/>
        </a:ln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3.7656974288402804E-2"/>
          <c:y val="0.36274540812636785"/>
          <c:w val="0.14644378889934426"/>
          <c:h val="0.22689095025664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58119378687746E-2"/>
          <c:y val="2.5280903210741234E-2"/>
          <c:w val="0.76962809966044921"/>
          <c:h val="0.88764060162158098"/>
        </c:manualLayout>
      </c:layout>
      <c:scatterChart>
        <c:scatterStyle val="smoothMarker"/>
        <c:varyColors val="0"/>
        <c:ser>
          <c:idx val="15"/>
          <c:order val="0"/>
          <c:tx>
            <c:strRef>
              <c:f>Lines!$AG$1</c:f>
              <c:strCache>
                <c:ptCount val="1"/>
                <c:pt idx="0">
                  <c:v>Bow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Lines!$AM$30:$AM$41</c:f>
              <c:numCache>
                <c:formatCode>General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0.75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0.625</c:v>
                </c:pt>
                <c:pt idx="8">
                  <c:v>0.5</c:v>
                </c:pt>
                <c:pt idx="9">
                  <c:v>0.375</c:v>
                </c:pt>
                <c:pt idx="10">
                  <c:v>1.2500000000000001E-2</c:v>
                </c:pt>
                <c:pt idx="11">
                  <c:v>0</c:v>
                </c:pt>
              </c:numCache>
            </c:numRef>
          </c:xVal>
          <c:yVal>
            <c:numRef>
              <c:f>Lines!$W$30:$W$42</c:f>
              <c:numCache>
                <c:formatCode>General</c:formatCode>
                <c:ptCount val="13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4-4898-8F32-A80D3ADAC439}"/>
            </c:ext>
          </c:extLst>
        </c:ser>
        <c:ser>
          <c:idx val="5"/>
          <c:order val="1"/>
          <c:tx>
            <c:strRef>
              <c:f>Lines!$AK$28</c:f>
              <c:strCache>
                <c:ptCount val="1"/>
                <c:pt idx="0">
                  <c:v>Fr 10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Lines!$AK$30:$AK$41</c:f>
              <c:numCache>
                <c:formatCode>General</c:formatCode>
                <c:ptCount val="12"/>
                <c:pt idx="0">
                  <c:v>6.25</c:v>
                </c:pt>
                <c:pt idx="1">
                  <c:v>4.375</c:v>
                </c:pt>
                <c:pt idx="2">
                  <c:v>2.5</c:v>
                </c:pt>
                <c:pt idx="3">
                  <c:v>1</c:v>
                </c:pt>
                <c:pt idx="4">
                  <c:v>0</c:v>
                </c:pt>
                <c:pt idx="5">
                  <c:v>0.125</c:v>
                </c:pt>
                <c:pt idx="6">
                  <c:v>0.75</c:v>
                </c:pt>
                <c:pt idx="7">
                  <c:v>0.87500000000000011</c:v>
                </c:pt>
                <c:pt idx="8">
                  <c:v>0.75</c:v>
                </c:pt>
                <c:pt idx="9">
                  <c:v>0.5</c:v>
                </c:pt>
                <c:pt idx="10">
                  <c:v>0.125</c:v>
                </c:pt>
                <c:pt idx="11">
                  <c:v>0</c:v>
                </c:pt>
              </c:numCache>
            </c:numRef>
          </c:xVal>
          <c:yVal>
            <c:numRef>
              <c:f>Lines!$W$30:$W$41</c:f>
              <c:numCache>
                <c:formatCode>General</c:formatCode>
                <c:ptCount val="12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4-4898-8F32-A80D3ADAC439}"/>
            </c:ext>
          </c:extLst>
        </c:ser>
        <c:ser>
          <c:idx val="4"/>
          <c:order val="2"/>
          <c:tx>
            <c:strRef>
              <c:f>Lines!$AJ$28</c:f>
              <c:strCache>
                <c:ptCount val="1"/>
                <c:pt idx="0">
                  <c:v>Fr 9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Lines!$AJ$30:$AJ$41</c:f>
              <c:numCache>
                <c:formatCode>General</c:formatCode>
                <c:ptCount val="12"/>
                <c:pt idx="0">
                  <c:v>11.125</c:v>
                </c:pt>
                <c:pt idx="1">
                  <c:v>10.25</c:v>
                </c:pt>
                <c:pt idx="2">
                  <c:v>9.25</c:v>
                </c:pt>
                <c:pt idx="3">
                  <c:v>7.875</c:v>
                </c:pt>
                <c:pt idx="4">
                  <c:v>6.125</c:v>
                </c:pt>
                <c:pt idx="5">
                  <c:v>5.125</c:v>
                </c:pt>
                <c:pt idx="6">
                  <c:v>4.125</c:v>
                </c:pt>
                <c:pt idx="7">
                  <c:v>3</c:v>
                </c:pt>
                <c:pt idx="8">
                  <c:v>1.7500000000000002</c:v>
                </c:pt>
                <c:pt idx="9">
                  <c:v>1</c:v>
                </c:pt>
                <c:pt idx="10">
                  <c:v>0.1875</c:v>
                </c:pt>
                <c:pt idx="11">
                  <c:v>0.125</c:v>
                </c:pt>
              </c:numCache>
            </c:numRef>
          </c:xVal>
          <c:yVal>
            <c:numRef>
              <c:f>Lines!$W$30:$W$41</c:f>
              <c:numCache>
                <c:formatCode>General</c:formatCode>
                <c:ptCount val="12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4-4898-8F32-A80D3ADAC439}"/>
            </c:ext>
          </c:extLst>
        </c:ser>
        <c:ser>
          <c:idx val="3"/>
          <c:order val="3"/>
          <c:tx>
            <c:strRef>
              <c:f>Lines!$AI$28</c:f>
              <c:strCache>
                <c:ptCount val="1"/>
                <c:pt idx="0">
                  <c:v>Fr 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Lines!$AI$30:$AI$41</c:f>
              <c:numCache>
                <c:formatCode>General</c:formatCode>
                <c:ptCount val="12"/>
                <c:pt idx="0">
                  <c:v>12.5</c:v>
                </c:pt>
                <c:pt idx="1">
                  <c:v>12.375</c:v>
                </c:pt>
                <c:pt idx="2">
                  <c:v>12</c:v>
                </c:pt>
                <c:pt idx="3">
                  <c:v>11.25</c:v>
                </c:pt>
                <c:pt idx="4">
                  <c:v>10.25</c:v>
                </c:pt>
                <c:pt idx="5">
                  <c:v>9.5</c:v>
                </c:pt>
                <c:pt idx="6">
                  <c:v>8.375</c:v>
                </c:pt>
                <c:pt idx="7">
                  <c:v>7.0000000000000009</c:v>
                </c:pt>
                <c:pt idx="8">
                  <c:v>5</c:v>
                </c:pt>
                <c:pt idx="9">
                  <c:v>3.5000000000000004</c:v>
                </c:pt>
                <c:pt idx="10">
                  <c:v>1.7500000000000002</c:v>
                </c:pt>
                <c:pt idx="11">
                  <c:v>1.625</c:v>
                </c:pt>
              </c:numCache>
            </c:numRef>
          </c:xVal>
          <c:yVal>
            <c:numRef>
              <c:f>Lines!$W$30:$W$41</c:f>
              <c:numCache>
                <c:formatCode>General</c:formatCode>
                <c:ptCount val="12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4-4898-8F32-A80D3ADAC439}"/>
            </c:ext>
          </c:extLst>
        </c:ser>
        <c:ser>
          <c:idx val="2"/>
          <c:order val="4"/>
          <c:tx>
            <c:strRef>
              <c:f>Lines!$AH$28</c:f>
              <c:strCache>
                <c:ptCount val="1"/>
                <c:pt idx="0">
                  <c:v>Fr 7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Lines!$AH$30:$AH$41</c:f>
              <c:numCache>
                <c:formatCode>General</c:formatCode>
                <c:ptCount val="12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12.25</c:v>
                </c:pt>
                <c:pt idx="5">
                  <c:v>11.875</c:v>
                </c:pt>
                <c:pt idx="6">
                  <c:v>11.25</c:v>
                </c:pt>
                <c:pt idx="7">
                  <c:v>10.25</c:v>
                </c:pt>
                <c:pt idx="8">
                  <c:v>8.625</c:v>
                </c:pt>
                <c:pt idx="9">
                  <c:v>6.8750000000000009</c:v>
                </c:pt>
                <c:pt idx="10">
                  <c:v>4.5</c:v>
                </c:pt>
                <c:pt idx="11">
                  <c:v>4.375</c:v>
                </c:pt>
              </c:numCache>
            </c:numRef>
          </c:xVal>
          <c:yVal>
            <c:numRef>
              <c:f>Lines!$W$30:$W$41</c:f>
              <c:numCache>
                <c:formatCode>General</c:formatCode>
                <c:ptCount val="12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4-4898-8F32-A80D3ADAC439}"/>
            </c:ext>
          </c:extLst>
        </c:ser>
        <c:ser>
          <c:idx val="1"/>
          <c:order val="5"/>
          <c:tx>
            <c:strRef>
              <c:f>Lines!$AG$28</c:f>
              <c:strCache>
                <c:ptCount val="1"/>
                <c:pt idx="0">
                  <c:v>Fr 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Lines!$AG$30:$AG$41</c:f>
              <c:numCache>
                <c:formatCode>General</c:formatCode>
                <c:ptCount val="12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12.375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8.125</c:v>
                </c:pt>
                <c:pt idx="11">
                  <c:v>7.875</c:v>
                </c:pt>
              </c:numCache>
            </c:numRef>
          </c:xVal>
          <c:yVal>
            <c:numRef>
              <c:f>Lines!$W$30:$W$41</c:f>
              <c:numCache>
                <c:formatCode>General</c:formatCode>
                <c:ptCount val="12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4-4898-8F32-A80D3ADAC439}"/>
            </c:ext>
          </c:extLst>
        </c:ser>
        <c:ser>
          <c:idx val="0"/>
          <c:order val="6"/>
          <c:tx>
            <c:strRef>
              <c:f>Lines!$AF$28</c:f>
              <c:strCache>
                <c:ptCount val="1"/>
                <c:pt idx="0">
                  <c:v>Fr 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Lines!$AF$30:$AF$41</c:f>
              <c:numCache>
                <c:formatCode>General</c:formatCode>
                <c:ptCount val="12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12.4375</c:v>
                </c:pt>
                <c:pt idx="8">
                  <c:v>12.125</c:v>
                </c:pt>
                <c:pt idx="9">
                  <c:v>11.625</c:v>
                </c:pt>
                <c:pt idx="10">
                  <c:v>10.5</c:v>
                </c:pt>
                <c:pt idx="11">
                  <c:v>10</c:v>
                </c:pt>
              </c:numCache>
            </c:numRef>
          </c:xVal>
          <c:yVal>
            <c:numRef>
              <c:f>Lines!$W$30:$W$41</c:f>
              <c:numCache>
                <c:formatCode>General</c:formatCode>
                <c:ptCount val="12"/>
                <c:pt idx="0" formatCode="0.00">
                  <c:v>14</c:v>
                </c:pt>
                <c:pt idx="1">
                  <c:v>11.875</c:v>
                </c:pt>
                <c:pt idx="2">
                  <c:v>9.75</c:v>
                </c:pt>
                <c:pt idx="3">
                  <c:v>7.625</c:v>
                </c:pt>
                <c:pt idx="4">
                  <c:v>5.5</c:v>
                </c:pt>
                <c:pt idx="5">
                  <c:v>4.4000000000000004</c:v>
                </c:pt>
                <c:pt idx="6">
                  <c:v>3.3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0.55000000000000004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4-4898-8F32-A80D3ADAC439}"/>
            </c:ext>
          </c:extLst>
        </c:ser>
        <c:ser>
          <c:idx val="6"/>
          <c:order val="7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Lines!$X$3:$X$4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Lines!$Y$3:$Y$4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14-4898-8F32-A80D3ADAC439}"/>
            </c:ext>
          </c:extLst>
        </c:ser>
        <c:ser>
          <c:idx val="7"/>
          <c:order val="8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Lines!$X$5:$X$6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Lines!$Y$5:$Y$6</c:f>
              <c:numCache>
                <c:formatCode>General</c:formatCode>
                <c:ptCount val="2"/>
                <c:pt idx="0">
                  <c:v>11.875</c:v>
                </c:pt>
                <c:pt idx="1">
                  <c:v>11.875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14-4898-8F32-A80D3ADAC439}"/>
            </c:ext>
          </c:extLst>
        </c:ser>
        <c:ser>
          <c:idx val="8"/>
          <c:order val="9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Lines!$X$7:$X$8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Lines!$Y$7:$Y$8</c:f>
              <c:numCache>
                <c:formatCode>General</c:formatCode>
                <c:ptCount val="2"/>
                <c:pt idx="0">
                  <c:v>9.75</c:v>
                </c:pt>
                <c:pt idx="1">
                  <c:v>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14-4898-8F32-A80D3ADAC439}"/>
            </c:ext>
          </c:extLst>
        </c:ser>
        <c:ser>
          <c:idx val="9"/>
          <c:order val="1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Lines!$X$9:$X$10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Lines!$Y$9:$Y$10</c:f>
              <c:numCache>
                <c:formatCode>General</c:formatCode>
                <c:ptCount val="2"/>
                <c:pt idx="0">
                  <c:v>7.625</c:v>
                </c:pt>
                <c:pt idx="1">
                  <c:v>7.625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414-4898-8F32-A80D3ADAC439}"/>
            </c:ext>
          </c:extLst>
        </c:ser>
        <c:ser>
          <c:idx val="10"/>
          <c:order val="1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Lines!$X$11:$X$12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Lines!$Y$11:$Y$12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414-4898-8F32-A80D3ADAC439}"/>
            </c:ext>
          </c:extLst>
        </c:ser>
        <c:ser>
          <c:idx val="11"/>
          <c:order val="12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Lines!$X$13:$X$14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Lines!$Y$13:$Y$14</c:f>
              <c:numCache>
                <c:formatCode>General</c:formatCode>
                <c:ptCount val="2"/>
                <c:pt idx="0">
                  <c:v>4.4000000000000004</c:v>
                </c:pt>
                <c:pt idx="1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414-4898-8F32-A80D3ADAC439}"/>
            </c:ext>
          </c:extLst>
        </c:ser>
        <c:ser>
          <c:idx val="12"/>
          <c:order val="13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Lines!$X$15:$X$16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Lines!$Y$15:$Y$16</c:f>
              <c:numCache>
                <c:formatCode>General</c:formatCode>
                <c:ptCount val="2"/>
                <c:pt idx="0">
                  <c:v>3.3</c:v>
                </c:pt>
                <c:pt idx="1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414-4898-8F32-A80D3ADAC439}"/>
            </c:ext>
          </c:extLst>
        </c:ser>
        <c:ser>
          <c:idx val="13"/>
          <c:order val="14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Lines!$X$17:$X$18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Lines!$Y$17:$Y$18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414-4898-8F32-A80D3ADAC439}"/>
            </c:ext>
          </c:extLst>
        </c:ser>
        <c:ser>
          <c:idx val="14"/>
          <c:order val="15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Lines!$X$19:$X$20</c:f>
              <c:numCache>
                <c:formatCode>General</c:formatCode>
                <c:ptCount val="2"/>
                <c:pt idx="0">
                  <c:v>-13.125</c:v>
                </c:pt>
                <c:pt idx="1">
                  <c:v>13.125</c:v>
                </c:pt>
              </c:numCache>
            </c:numRef>
          </c:xVal>
          <c:yVal>
            <c:numRef>
              <c:f>Lines!$Y$19:$Y$20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414-4898-8F32-A80D3ADAC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207352"/>
        <c:axId val="1"/>
      </c:scatterChart>
      <c:valAx>
        <c:axId val="7872073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 [ m ]</a:t>
                </a:r>
              </a:p>
            </c:rich>
          </c:tx>
          <c:layout>
            <c:manualLayout>
              <c:xMode val="edge"/>
              <c:yMode val="edge"/>
              <c:x val="0.39253607089705184"/>
              <c:y val="0.94943836502561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207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84813531383985963"/>
          <c:y val="0.34410118259064454"/>
          <c:w val="0.12612634409151174"/>
          <c:h val="0.25842701059868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Section Area Curve</a:t>
            </a:r>
          </a:p>
        </c:rich>
      </c:tx>
      <c:layout>
        <c:manualLayout>
          <c:xMode val="edge"/>
          <c:yMode val="edge"/>
          <c:x val="0.44043119778744716"/>
          <c:y val="3.1405034716477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79880704293896E-2"/>
          <c:y val="0.16033088609183538"/>
          <c:w val="0.92395494442316262"/>
          <c:h val="0.697522350018603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SAC!$T$21</c:f>
              <c:strCache>
                <c:ptCount val="1"/>
                <c:pt idx="0">
                  <c:v>0,641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(SAC!$D$11,SAC!$F$6:$P$6,SAC!$Q$14)</c:f>
              <c:numCache>
                <c:formatCode>General</c:formatCode>
                <c:ptCount val="13"/>
                <c:pt idx="0">
                  <c:v>-3.75</c:v>
                </c:pt>
                <c:pt idx="1">
                  <c:v>0</c:v>
                </c:pt>
                <c:pt idx="2">
                  <c:v>15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  <c:pt idx="8">
                  <c:v>105</c:v>
                </c:pt>
                <c:pt idx="9">
                  <c:v>120</c:v>
                </c:pt>
                <c:pt idx="10">
                  <c:v>135</c:v>
                </c:pt>
                <c:pt idx="11">
                  <c:v>150</c:v>
                </c:pt>
                <c:pt idx="12">
                  <c:v>152.24999999999997</c:v>
                </c:pt>
              </c:numCache>
            </c:numRef>
          </c:xVal>
          <c:yVal>
            <c:numRef>
              <c:f>(SAC!$E$21,SAC!$F$21:$P$21,SAC!$R$21)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3.6666666666666665</c:v>
                </c:pt>
                <c:pt idx="2">
                  <c:v>35.474999999999994</c:v>
                </c:pt>
                <c:pt idx="3">
                  <c:v>85.983333333333334</c:v>
                </c:pt>
                <c:pt idx="4">
                  <c:v>123.22749999999999</c:v>
                </c:pt>
                <c:pt idx="5">
                  <c:v>134.88749999999999</c:v>
                </c:pt>
                <c:pt idx="6">
                  <c:v>134.88749999999999</c:v>
                </c:pt>
                <c:pt idx="7">
                  <c:v>128.92916666666665</c:v>
                </c:pt>
                <c:pt idx="8">
                  <c:v>111.60416666666666</c:v>
                </c:pt>
                <c:pt idx="9">
                  <c:v>79.474999999999994</c:v>
                </c:pt>
                <c:pt idx="10">
                  <c:v>37.835416666666667</c:v>
                </c:pt>
                <c:pt idx="11">
                  <c:v>5.6374999999999993</c:v>
                </c:pt>
                <c:pt idx="12">
                  <c:v>3.6712499999999997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03-4E8C-BDBA-19711F08279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SAC!$AH$7:$AH$8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SAC!$AI$7:$AI$8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03-4E8C-BDBA-19711F08279B}"/>
            </c:ext>
          </c:extLst>
        </c:ser>
        <c:ser>
          <c:idx val="2"/>
          <c:order val="2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SAC!$AH$9:$AH$10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SAC!$AI$9:$AI$10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03-4E8C-BDBA-19711F08279B}"/>
            </c:ext>
          </c:extLst>
        </c:ser>
        <c:ser>
          <c:idx val="4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SAC!$AH$13:$AH$14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SAC!$AI$13:$AI$14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03-4E8C-BDBA-19711F08279B}"/>
            </c:ext>
          </c:extLst>
        </c:ser>
        <c:ser>
          <c:idx val="5"/>
          <c:order val="4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SAC!$AH$15:$AH$16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SAC!$AI$15:$AI$16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03-4E8C-BDBA-19711F08279B}"/>
            </c:ext>
          </c:extLst>
        </c:ser>
        <c:ser>
          <c:idx val="6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SAC!$AH$17:$AH$18</c:f>
              <c:numCache>
                <c:formatCode>General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xVal>
          <c:yVal>
            <c:numRef>
              <c:f>SAC!$AI$17:$AI$18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03-4E8C-BDBA-19711F08279B}"/>
            </c:ext>
          </c:extLst>
        </c:ser>
        <c:ser>
          <c:idx val="7"/>
          <c:order val="6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SAC!$AH$19:$AH$20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xVal>
          <c:yVal>
            <c:numRef>
              <c:f>SAC!$AI$19:$AI$20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03-4E8C-BDBA-19711F08279B}"/>
            </c:ext>
          </c:extLst>
        </c:ser>
        <c:ser>
          <c:idx val="8"/>
          <c:order val="7"/>
          <c:spPr>
            <a:ln w="254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SAC!$AH$21:$AH$22</c:f>
              <c:numCache>
                <c:formatCode>General</c:formatCode>
                <c:ptCount val="2"/>
                <c:pt idx="0">
                  <c:v>105</c:v>
                </c:pt>
                <c:pt idx="1">
                  <c:v>105</c:v>
                </c:pt>
              </c:numCache>
            </c:numRef>
          </c:xVal>
          <c:yVal>
            <c:numRef>
              <c:f>SAC!$AI$21:$AI$22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03-4E8C-BDBA-19711F08279B}"/>
            </c:ext>
          </c:extLst>
        </c:ser>
        <c:ser>
          <c:idx val="9"/>
          <c:order val="8"/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SAC!$AH$23:$AH$24</c:f>
              <c:numCache>
                <c:formatCode>General</c:formatCode>
                <c:ptCount val="2"/>
                <c:pt idx="0">
                  <c:v>120</c:v>
                </c:pt>
                <c:pt idx="1">
                  <c:v>120</c:v>
                </c:pt>
              </c:numCache>
            </c:numRef>
          </c:xVal>
          <c:yVal>
            <c:numRef>
              <c:f>SAC!$AI$23:$AI$24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03-4E8C-BDBA-19711F08279B}"/>
            </c:ext>
          </c:extLst>
        </c:ser>
        <c:ser>
          <c:idx val="10"/>
          <c:order val="9"/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SAC!$AH$25:$AH$26</c:f>
              <c:numCache>
                <c:formatCode>General</c:formatCode>
                <c:ptCount val="2"/>
                <c:pt idx="0">
                  <c:v>135</c:v>
                </c:pt>
                <c:pt idx="1">
                  <c:v>135</c:v>
                </c:pt>
              </c:numCache>
            </c:numRef>
          </c:xVal>
          <c:yVal>
            <c:numRef>
              <c:f>SAC!$AI$25:$AI$26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03-4E8C-BDBA-19711F08279B}"/>
            </c:ext>
          </c:extLst>
        </c:ser>
        <c:ser>
          <c:idx val="11"/>
          <c:order val="10"/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SAC!$AH$27:$AH$28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SAC!$AI$27:$AI$28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603-4E8C-BDBA-19711F08279B}"/>
            </c:ext>
          </c:extLst>
        </c:ser>
        <c:ser>
          <c:idx val="3"/>
          <c:order val="11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SAC!$AH$11:$AH$12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SAC!$AI$11:$AI$12</c:f>
              <c:numCache>
                <c:formatCode>General</c:formatCode>
                <c:ptCount val="2"/>
                <c:pt idx="0">
                  <c:v>0</c:v>
                </c:pt>
                <c:pt idx="1">
                  <c:v>141.63187500000001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603-4E8C-BDBA-19711F082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159376"/>
        <c:axId val="1"/>
      </c:scatterChart>
      <c:valAx>
        <c:axId val="788159376"/>
        <c:scaling>
          <c:orientation val="minMax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[ m ]</a:t>
                </a:r>
              </a:p>
            </c:rich>
          </c:tx>
          <c:layout>
            <c:manualLayout>
              <c:xMode val="edge"/>
              <c:yMode val="edge"/>
              <c:x val="0.50000030943064144"/>
              <c:y val="0.90909311021381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 [ m2 ]</a:t>
                </a:r>
              </a:p>
            </c:rich>
          </c:tx>
          <c:layout>
            <c:manualLayout>
              <c:xMode val="edge"/>
              <c:yMode val="edge"/>
              <c:x val="1.5842848841275077E-2"/>
              <c:y val="0.45454655510690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159376"/>
        <c:crossesAt val="-1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6058354905806211"/>
          <c:y val="9.9173793841507568E-2"/>
          <c:w val="6.6539965133355319E-2"/>
          <c:h val="4.79340003567286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Recommended Section Area Curves</a:t>
            </a:r>
          </a:p>
        </c:rich>
      </c:tx>
      <c:layout>
        <c:manualLayout>
          <c:xMode val="edge"/>
          <c:yMode val="edge"/>
          <c:x val="0.38597668679335057"/>
          <c:y val="3.6753466247352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424677323375288E-2"/>
          <c:y val="0.15313944269730306"/>
          <c:w val="0.85648816577064391"/>
          <c:h val="0.722818169531270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'Recommended SAC'!$AO$16</c:f>
              <c:strCache>
                <c:ptCount val="1"/>
                <c:pt idx="0">
                  <c:v>0,640501083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('Recommended SAC'!$Z$16,'Recommended SAC'!$AB$6:$AL$6,'Recommended SAC'!$AM$16)</c:f>
              <c:numCache>
                <c:formatCode>General</c:formatCode>
                <c:ptCount val="13"/>
                <c:pt idx="0">
                  <c:v>-2.5000000000000001E-2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1.0149999999999999</c:v>
                </c:pt>
              </c:numCache>
            </c:numRef>
          </c:xVal>
          <c:yVal>
            <c:numRef>
              <c:f>('Recommended SAC'!$AA$16,'Recommended SAC'!$AB$16:$AL$16,'Recommended SAC'!$AN$16)</c:f>
              <c:numCache>
                <c:formatCode>General</c:formatCode>
                <c:ptCount val="13"/>
                <c:pt idx="0">
                  <c:v>0</c:v>
                </c:pt>
                <c:pt idx="1">
                  <c:v>2.6666666666666668E-2</c:v>
                </c:pt>
                <c:pt idx="2">
                  <c:v>0.25799999999999995</c:v>
                </c:pt>
                <c:pt idx="3">
                  <c:v>0.6253333333333333</c:v>
                </c:pt>
                <c:pt idx="4">
                  <c:v>0.8962</c:v>
                </c:pt>
                <c:pt idx="5">
                  <c:v>0.98099999999999987</c:v>
                </c:pt>
                <c:pt idx="6">
                  <c:v>0.98099999999999987</c:v>
                </c:pt>
                <c:pt idx="7">
                  <c:v>0.93766666666666654</c:v>
                </c:pt>
                <c:pt idx="8">
                  <c:v>0.81166666666666665</c:v>
                </c:pt>
                <c:pt idx="9">
                  <c:v>0.57799999999999996</c:v>
                </c:pt>
                <c:pt idx="10">
                  <c:v>0.27516666666666667</c:v>
                </c:pt>
                <c:pt idx="11">
                  <c:v>4.0999999999999995E-2</c:v>
                </c:pt>
                <c:pt idx="12">
                  <c:v>2.6699999999999998E-2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F-4678-BC1B-868549297288}"/>
            </c:ext>
          </c:extLst>
        </c:ser>
        <c:ser>
          <c:idx val="3"/>
          <c:order val="1"/>
          <c:tx>
            <c:strRef>
              <c:f>'Recommended SAC'!$Y$7</c:f>
              <c:strCache>
                <c:ptCount val="1"/>
                <c:pt idx="0">
                  <c:v>0,85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('Recommended SAC'!$Z$7,'Recommended SAC'!$AB$6:$AL$6,'Recommended SAC'!$AM$7)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1.0249999999999999</c:v>
                </c:pt>
              </c:numCache>
            </c:numRef>
          </c:xVal>
          <c:yVal>
            <c:numRef>
              <c:f>('Recommended SAC'!$AA$7,'Recommended SAC'!$AB$7:$AL$7,'Recommended SAC'!$AN$7)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0.53</c:v>
                </c:pt>
                <c:pt idx="3">
                  <c:v>0.89</c:v>
                </c:pt>
                <c:pt idx="4">
                  <c:v>0.99</c:v>
                </c:pt>
                <c:pt idx="5">
                  <c:v>0.998</c:v>
                </c:pt>
                <c:pt idx="6">
                  <c:v>0.998</c:v>
                </c:pt>
                <c:pt idx="7">
                  <c:v>0.998</c:v>
                </c:pt>
                <c:pt idx="8">
                  <c:v>0.998</c:v>
                </c:pt>
                <c:pt idx="9">
                  <c:v>0.99399999999999999</c:v>
                </c:pt>
                <c:pt idx="10">
                  <c:v>0.88</c:v>
                </c:pt>
                <c:pt idx="11">
                  <c:v>0.1</c:v>
                </c:pt>
                <c:pt idx="12">
                  <c:v>5.5E-2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0F-4678-BC1B-868549297288}"/>
            </c:ext>
          </c:extLst>
        </c:ser>
        <c:ser>
          <c:idx val="2"/>
          <c:order val="2"/>
          <c:tx>
            <c:strRef>
              <c:f>'Recommended SAC'!$Y$8</c:f>
              <c:strCache>
                <c:ptCount val="1"/>
                <c:pt idx="0">
                  <c:v>0,8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('Recommended SAC'!$Z$8,'Recommended SAC'!$AB$6:$AL$6,'Recommended SAC'!$AM$8)</c:f>
              <c:numCache>
                <c:formatCode>General</c:formatCode>
                <c:ptCount val="13"/>
                <c:pt idx="0">
                  <c:v>-0.01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1.0225</c:v>
                </c:pt>
              </c:numCache>
            </c:numRef>
          </c:xVal>
          <c:yVal>
            <c:numRef>
              <c:f>('Recommended SAC'!$AA$8,'Recommended SAC'!$AB$8:$AL$8,'Recommended SAC'!$AN$8)</c:f>
              <c:numCache>
                <c:formatCode>General</c:formatCode>
                <c:ptCount val="13"/>
                <c:pt idx="0">
                  <c:v>0</c:v>
                </c:pt>
                <c:pt idx="1">
                  <c:v>0.02</c:v>
                </c:pt>
                <c:pt idx="2">
                  <c:v>0.42</c:v>
                </c:pt>
                <c:pt idx="3">
                  <c:v>0.82</c:v>
                </c:pt>
                <c:pt idx="4">
                  <c:v>0.97</c:v>
                </c:pt>
                <c:pt idx="5">
                  <c:v>0.995</c:v>
                </c:pt>
                <c:pt idx="6">
                  <c:v>0.995</c:v>
                </c:pt>
                <c:pt idx="7">
                  <c:v>0.995</c:v>
                </c:pt>
                <c:pt idx="8">
                  <c:v>0.995</c:v>
                </c:pt>
                <c:pt idx="9">
                  <c:v>0.96399999999999997</c:v>
                </c:pt>
                <c:pt idx="10">
                  <c:v>0.69</c:v>
                </c:pt>
                <c:pt idx="11">
                  <c:v>0.09</c:v>
                </c:pt>
                <c:pt idx="12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0F-4678-BC1B-868549297288}"/>
            </c:ext>
          </c:extLst>
        </c:ser>
        <c:ser>
          <c:idx val="13"/>
          <c:order val="3"/>
          <c:tx>
            <c:strRef>
              <c:f>'Recommended SAC'!$Y$9</c:f>
              <c:strCache>
                <c:ptCount val="1"/>
                <c:pt idx="0">
                  <c:v>0,7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('Recommended SAC'!$Z$9,'Recommended SAC'!$AB$6:$AL$6,'Recommended SAC'!$AM$9)</c:f>
              <c:numCache>
                <c:formatCode>General</c:formatCode>
                <c:ptCount val="13"/>
                <c:pt idx="0">
                  <c:v>-2.5000000000000001E-2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1.02</c:v>
                </c:pt>
              </c:numCache>
            </c:numRef>
          </c:xVal>
          <c:yVal>
            <c:numRef>
              <c:f>('Recommended SAC'!$AA$9,'Recommended SAC'!$AB$9:$AL$9,'Recommended SAC'!$AN$9)</c:f>
              <c:numCache>
                <c:formatCode>General</c:formatCode>
                <c:ptCount val="13"/>
                <c:pt idx="0">
                  <c:v>0</c:v>
                </c:pt>
                <c:pt idx="1">
                  <c:v>0.03</c:v>
                </c:pt>
                <c:pt idx="2">
                  <c:v>0.3</c:v>
                </c:pt>
                <c:pt idx="3">
                  <c:v>0.7</c:v>
                </c:pt>
                <c:pt idx="4">
                  <c:v>0.92</c:v>
                </c:pt>
                <c:pt idx="5">
                  <c:v>0.98499999999999999</c:v>
                </c:pt>
                <c:pt idx="6">
                  <c:v>0.98799999999999999</c:v>
                </c:pt>
                <c:pt idx="7">
                  <c:v>0.98799999999999999</c:v>
                </c:pt>
                <c:pt idx="8">
                  <c:v>0.91</c:v>
                </c:pt>
                <c:pt idx="9">
                  <c:v>0.71</c:v>
                </c:pt>
                <c:pt idx="10">
                  <c:v>0.4</c:v>
                </c:pt>
                <c:pt idx="11">
                  <c:v>0.08</c:v>
                </c:pt>
                <c:pt idx="12">
                  <c:v>4.4999999999999998E-2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0F-4678-BC1B-868549297288}"/>
            </c:ext>
          </c:extLst>
        </c:ser>
        <c:ser>
          <c:idx val="1"/>
          <c:order val="4"/>
          <c:tx>
            <c:strRef>
              <c:f>'Recommended SAC'!$Y$10</c:f>
              <c:strCache>
                <c:ptCount val="1"/>
                <c:pt idx="0">
                  <c:v>0,6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('Recommended SAC'!$Z$10,'Recommended SAC'!$AB$6:$AL$6,'Recommended SAC'!$AM$10)</c:f>
              <c:numCache>
                <c:formatCode>General</c:formatCode>
                <c:ptCount val="13"/>
                <c:pt idx="0">
                  <c:v>-2.5000000000000001E-2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1.02</c:v>
                </c:pt>
              </c:numCache>
            </c:numRef>
          </c:xVal>
          <c:yVal>
            <c:numRef>
              <c:f>('Recommended SAC'!$AA$10,'Recommended SAC'!$AB$10:$AL$10,'Recommended SAC'!$AN$10)</c:f>
              <c:numCache>
                <c:formatCode>General</c:formatCode>
                <c:ptCount val="13"/>
                <c:pt idx="0">
                  <c:v>0</c:v>
                </c:pt>
                <c:pt idx="1">
                  <c:v>2.5000000000000001E-2</c:v>
                </c:pt>
                <c:pt idx="2">
                  <c:v>0.24</c:v>
                </c:pt>
                <c:pt idx="3">
                  <c:v>0.59</c:v>
                </c:pt>
                <c:pt idx="4">
                  <c:v>0.88</c:v>
                </c:pt>
                <c:pt idx="5">
                  <c:v>0.97</c:v>
                </c:pt>
                <c:pt idx="6">
                  <c:v>0.96499999999999997</c:v>
                </c:pt>
                <c:pt idx="7">
                  <c:v>0.89</c:v>
                </c:pt>
                <c:pt idx="8">
                  <c:v>0.72</c:v>
                </c:pt>
                <c:pt idx="9">
                  <c:v>0.47</c:v>
                </c:pt>
                <c:pt idx="10">
                  <c:v>0.2</c:v>
                </c:pt>
                <c:pt idx="11">
                  <c:v>7.0000000000000007E-2</c:v>
                </c:pt>
                <c:pt idx="12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0F-4678-BC1B-868549297288}"/>
            </c:ext>
          </c:extLst>
        </c:ser>
        <c:ser>
          <c:idx val="12"/>
          <c:order val="5"/>
          <c:tx>
            <c:strRef>
              <c:f>'Recommended SAC'!$Y$11</c:f>
              <c:strCache>
                <c:ptCount val="1"/>
                <c:pt idx="0">
                  <c:v>0,5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('Recommended SAC'!$Z$11,'Recommended SAC'!$AB$6:$AL$6,'Recommended SAC'!$AM$11)</c:f>
              <c:numCache>
                <c:formatCode>General</c:formatCode>
                <c:ptCount val="13"/>
                <c:pt idx="0">
                  <c:v>-2.5000000000000001E-2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1.02</c:v>
                </c:pt>
              </c:numCache>
            </c:numRef>
          </c:xVal>
          <c:yVal>
            <c:numRef>
              <c:f>('Recommended SAC'!$AA$11,'Recommended SAC'!$AB$11:$AL$11,'Recommended SAC'!$AN$11)</c:f>
              <c:numCache>
                <c:formatCode>General</c:formatCode>
                <c:ptCount val="13"/>
                <c:pt idx="0">
                  <c:v>0</c:v>
                </c:pt>
                <c:pt idx="1">
                  <c:v>2.5000000000000001E-2</c:v>
                </c:pt>
                <c:pt idx="2">
                  <c:v>0.2</c:v>
                </c:pt>
                <c:pt idx="3">
                  <c:v>0.5</c:v>
                </c:pt>
                <c:pt idx="4">
                  <c:v>0.78</c:v>
                </c:pt>
                <c:pt idx="5">
                  <c:v>0.89</c:v>
                </c:pt>
                <c:pt idx="6">
                  <c:v>0.88</c:v>
                </c:pt>
                <c:pt idx="7">
                  <c:v>0.75</c:v>
                </c:pt>
                <c:pt idx="8">
                  <c:v>0.53</c:v>
                </c:pt>
                <c:pt idx="9">
                  <c:v>0.3</c:v>
                </c:pt>
                <c:pt idx="10">
                  <c:v>0.11</c:v>
                </c:pt>
                <c:pt idx="11">
                  <c:v>0.06</c:v>
                </c:pt>
                <c:pt idx="12">
                  <c:v>3.5000000000000003E-2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0F-4678-BC1B-868549297288}"/>
            </c:ext>
          </c:extLst>
        </c:ser>
        <c:ser>
          <c:idx val="4"/>
          <c:order val="6"/>
          <c:tx>
            <c:strRef>
              <c:f>'Recommended SAC'!$Y$12</c:f>
              <c:strCache>
                <c:ptCount val="1"/>
                <c:pt idx="0">
                  <c:v>0,4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('Recommended SAC'!$Z$12,'Recommended SAC'!$AB$6:$AL$6,'Recommended SAC'!$AM$12)</c:f>
              <c:numCache>
                <c:formatCode>General</c:formatCode>
                <c:ptCount val="13"/>
                <c:pt idx="0">
                  <c:v>-2.5000000000000001E-2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1.02</c:v>
                </c:pt>
              </c:numCache>
            </c:numRef>
          </c:xVal>
          <c:yVal>
            <c:numRef>
              <c:f>('Recommended SAC'!$AA$12,'Recommended SAC'!$AB$12:$AL$12,'Recommended SAC'!$AN$12)</c:f>
              <c:numCache>
                <c:formatCode>General</c:formatCode>
                <c:ptCount val="13"/>
                <c:pt idx="0">
                  <c:v>0.3</c:v>
                </c:pt>
                <c:pt idx="1">
                  <c:v>0.31</c:v>
                </c:pt>
                <c:pt idx="2">
                  <c:v>0.4</c:v>
                </c:pt>
                <c:pt idx="3">
                  <c:v>0.5</c:v>
                </c:pt>
                <c:pt idx="4">
                  <c:v>0.59</c:v>
                </c:pt>
                <c:pt idx="5">
                  <c:v>0.62</c:v>
                </c:pt>
                <c:pt idx="6">
                  <c:v>0.59</c:v>
                </c:pt>
                <c:pt idx="7">
                  <c:v>0.49</c:v>
                </c:pt>
                <c:pt idx="8">
                  <c:v>0.33</c:v>
                </c:pt>
                <c:pt idx="9">
                  <c:v>0.15</c:v>
                </c:pt>
                <c:pt idx="10">
                  <c:v>0.06</c:v>
                </c:pt>
                <c:pt idx="11">
                  <c:v>0.04</c:v>
                </c:pt>
                <c:pt idx="12">
                  <c:v>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0F-4678-BC1B-868549297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161296"/>
        <c:axId val="1"/>
      </c:scatterChart>
      <c:valAx>
        <c:axId val="788161296"/>
        <c:scaling>
          <c:orientation val="minMax"/>
          <c:max val="1.1000000000000001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[ m ]</a:t>
                </a:r>
              </a:p>
            </c:rich>
          </c:tx>
          <c:layout>
            <c:manualLayout>
              <c:xMode val="edge"/>
              <c:yMode val="edge"/>
              <c:x val="0.46199246891224471"/>
              <c:y val="0.923430839464737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0.1"/>
        <c:minorUnit val="0.05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 / ( B*T )</a:t>
                </a:r>
              </a:p>
            </c:rich>
          </c:tx>
          <c:layout>
            <c:manualLayout>
              <c:xMode val="edge"/>
              <c:yMode val="edge"/>
              <c:x val="1.3106169330843822E-2"/>
              <c:y val="0.45176135595704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161296"/>
        <c:crossesAt val="-0.1"/>
        <c:crossBetween val="midCat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46402462910317"/>
          <c:y val="0.25735641116780833"/>
          <c:w val="5.7667145055712819E-2"/>
          <c:h val="0.57766639154803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</xdr:colOff>
      <xdr:row>1</xdr:row>
      <xdr:rowOff>175260</xdr:rowOff>
    </xdr:from>
    <xdr:to>
      <xdr:col>13</xdr:col>
      <xdr:colOff>381000</xdr:colOff>
      <xdr:row>19</xdr:row>
      <xdr:rowOff>116205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8AF646-8817-4040-876A-221DBE16F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211455</xdr:colOff>
      <xdr:row>3</xdr:row>
      <xdr:rowOff>91440</xdr:rowOff>
    </xdr:from>
    <xdr:to>
      <xdr:col>19</xdr:col>
      <xdr:colOff>249555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13580F-951E-4422-B89F-CAE5B50A6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26</xdr:row>
      <xdr:rowOff>114300</xdr:rowOff>
    </xdr:from>
    <xdr:to>
      <xdr:col>19</xdr:col>
      <xdr:colOff>57149</xdr:colOff>
      <xdr:row>46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92DDB3-BB26-4EC8-8997-BDB59FE3CB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423727</xdr:colOff>
      <xdr:row>54</xdr:row>
      <xdr:rowOff>114299</xdr:rowOff>
    </xdr:from>
    <xdr:to>
      <xdr:col>9</xdr:col>
      <xdr:colOff>106680</xdr:colOff>
      <xdr:row>79</xdr:row>
      <xdr:rowOff>82186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E9214D-0328-4A7C-BEAA-BAFDB35E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200570</xdr:colOff>
      <xdr:row>54</xdr:row>
      <xdr:rowOff>164919</xdr:rowOff>
    </xdr:from>
    <xdr:to>
      <xdr:col>17</xdr:col>
      <xdr:colOff>484415</xdr:colOff>
      <xdr:row>79</xdr:row>
      <xdr:rowOff>134711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CD6018-A0C5-4913-A31B-2AB592D5B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123825</xdr:rowOff>
    </xdr:from>
    <xdr:to>
      <xdr:col>19</xdr:col>
      <xdr:colOff>335280</xdr:colOff>
      <xdr:row>18</xdr:row>
      <xdr:rowOff>1905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B0B7FF0C-2D43-455A-B91A-F9D2D8A3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309209</xdr:colOff>
      <xdr:row>21</xdr:row>
      <xdr:rowOff>105377</xdr:rowOff>
    </xdr:from>
    <xdr:to>
      <xdr:col>19</xdr:col>
      <xdr:colOff>309259</xdr:colOff>
      <xdr:row>35</xdr:row>
      <xdr:rowOff>32254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7CE5A2BA-5510-49D6-A5F5-0835ABF9D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255270</xdr:colOff>
      <xdr:row>51</xdr:row>
      <xdr:rowOff>66675</xdr:rowOff>
    </xdr:from>
    <xdr:to>
      <xdr:col>9</xdr:col>
      <xdr:colOff>240030</xdr:colOff>
      <xdr:row>81</xdr:row>
      <xdr:rowOff>10160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EF81EDD3-7053-40A3-A782-94147657F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371475</xdr:colOff>
      <xdr:row>51</xdr:row>
      <xdr:rowOff>38100</xdr:rowOff>
    </xdr:from>
    <xdr:to>
      <xdr:col>21</xdr:col>
      <xdr:colOff>200025</xdr:colOff>
      <xdr:row>80</xdr:row>
      <xdr:rowOff>149225</xdr:rowOff>
    </xdr:to>
    <xdr:graphicFrame macro="">
      <xdr:nvGraphicFramePr>
        <xdr:cNvPr id="15" name="Chart 5">
          <a:extLst>
            <a:ext uri="{FF2B5EF4-FFF2-40B4-BE49-F238E27FC236}">
              <a16:creationId xmlns:a16="http://schemas.microsoft.com/office/drawing/2014/main" id="{E575EC78-B8BE-4C37-AE75-F9C5941DF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20</xdr:col>
      <xdr:colOff>441960</xdr:colOff>
      <xdr:row>51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EB171D-7A13-4F16-9F71-1C997D1D9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0.88307</cdr:x>
      <cdr:y>0.04623</cdr:y>
    </cdr:from>
    <cdr:to>
      <cdr:x>0.90339</cdr:x>
      <cdr:y>0.08921</cdr:y>
    </cdr:to>
    <cdr:sp macro="" textlink="">
      <cdr:nvSpPr>
        <cdr:cNvPr id="14337" name="Text Box 1">
          <a:extLst xmlns:a="http://schemas.openxmlformats.org/drawingml/2006/main">
            <a:ext uri="{FF2B5EF4-FFF2-40B4-BE49-F238E27FC236}">
              <a16:creationId xmlns:a16="http://schemas.microsoft.com/office/drawing/2014/main" id="{97DB20E4-80DF-4BC8-A419-66F0A38D32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22578" y="210942"/>
          <a:ext cx="244469" cy="198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FI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CB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20</xdr:col>
      <xdr:colOff>45720</xdr:colOff>
      <xdr:row>47</xdr:row>
      <xdr:rowOff>89535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A006BB-7F59-418A-9496-2FDED778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0.94092</cdr:x>
      <cdr:y>0.16259</cdr:y>
    </cdr:from>
    <cdr:to>
      <cdr:x>0.97065</cdr:x>
      <cdr:y>0.21997</cdr:y>
    </cdr:to>
    <cdr:sp macro="" textlink="">
      <cdr:nvSpPr>
        <cdr:cNvPr id="13313" name="Text Box 1">
          <a:extLst xmlns:a="http://schemas.openxmlformats.org/drawingml/2006/main">
            <a:ext uri="{FF2B5EF4-FFF2-40B4-BE49-F238E27FC236}">
              <a16:creationId xmlns:a16="http://schemas.microsoft.com/office/drawing/2014/main" id="{5465E333-796D-40C1-9E28-57A6F28AE3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42923" y="809625"/>
          <a:ext cx="34576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yeve\AppData\Local\Temp\Temp2_PNA4%20-%20Hull%20Lines.zip\13.%20PNA4%20-%20Hull%20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Data"/>
      <sheetName val="Form"/>
      <sheetName val="Lines"/>
      <sheetName val="SAC"/>
      <sheetName val="Recommended SAC"/>
    </sheetNames>
    <sheetDataSet>
      <sheetData sheetId="0">
        <row r="19">
          <cell r="C19">
            <v>0.2633519286707916</v>
          </cell>
        </row>
      </sheetData>
      <sheetData sheetId="1"/>
      <sheetData sheetId="2">
        <row r="1">
          <cell r="AG1" t="str">
            <v>Bow</v>
          </cell>
        </row>
      </sheetData>
      <sheetData sheetId="3">
        <row r="6">
          <cell r="F6">
            <v>0</v>
          </cell>
        </row>
      </sheetData>
      <sheetData sheetId="4">
        <row r="6">
          <cell r="AB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4015-B430-45E7-928A-371A4F1BEAA0}">
  <dimension ref="B2:T43"/>
  <sheetViews>
    <sheetView topLeftCell="A13" workbookViewId="0">
      <selection activeCell="C24" sqref="C24"/>
    </sheetView>
  </sheetViews>
  <sheetFormatPr defaultRowHeight="15" x14ac:dyDescent="0.25"/>
  <cols>
    <col min="2" max="2" width="39.42578125" customWidth="1"/>
    <col min="5" max="5" width="12.5703125" customWidth="1"/>
    <col min="6" max="6" width="7.85546875" customWidth="1"/>
    <col min="7" max="7" width="12.42578125" customWidth="1"/>
    <col min="13" max="13" width="9.140625" customWidth="1"/>
    <col min="26" max="26" width="9.140625" customWidth="1"/>
  </cols>
  <sheetData>
    <row r="2" spans="2:20" ht="23.45" customHeight="1" x14ac:dyDescent="0.3">
      <c r="B2" s="1" t="s">
        <v>0</v>
      </c>
    </row>
    <row r="3" spans="2:20" ht="15.75" thickBot="1" x14ac:dyDescent="0.3">
      <c r="P3" s="4" t="s">
        <v>41</v>
      </c>
      <c r="Q3" s="4" t="s">
        <v>42</v>
      </c>
      <c r="R3" s="4" t="s">
        <v>43</v>
      </c>
      <c r="S3" s="4" t="s">
        <v>44</v>
      </c>
      <c r="T3" s="4" t="s">
        <v>45</v>
      </c>
    </row>
    <row r="4" spans="2:20" x14ac:dyDescent="0.25">
      <c r="B4" s="42" t="s">
        <v>1</v>
      </c>
      <c r="C4" s="43" t="s">
        <v>2</v>
      </c>
      <c r="D4" s="18"/>
      <c r="E4" s="44"/>
      <c r="G4" s="27"/>
      <c r="H4" s="27"/>
      <c r="P4" s="8">
        <v>0</v>
      </c>
      <c r="Q4" s="9">
        <v>1</v>
      </c>
      <c r="R4" s="9">
        <v>1</v>
      </c>
      <c r="S4" s="9">
        <v>1</v>
      </c>
      <c r="T4" s="9">
        <v>1</v>
      </c>
    </row>
    <row r="5" spans="2:20" x14ac:dyDescent="0.25">
      <c r="B5" s="23"/>
      <c r="C5" s="4"/>
      <c r="D5" s="3"/>
      <c r="E5" s="32"/>
      <c r="G5" s="27"/>
      <c r="H5" s="27"/>
      <c r="P5" s="8">
        <v>0.05</v>
      </c>
      <c r="Q5" s="9">
        <v>0.97499999999999998</v>
      </c>
      <c r="R5" s="9">
        <v>0.999</v>
      </c>
      <c r="S5" s="9">
        <f>Q5/R5</f>
        <v>0.97597597597597596</v>
      </c>
      <c r="T5" s="9">
        <v>0.98</v>
      </c>
    </row>
    <row r="6" spans="2:20" x14ac:dyDescent="0.25">
      <c r="B6" s="45" t="s">
        <v>3</v>
      </c>
      <c r="C6" s="5">
        <f>Lines!$AJ$4-Lines!$AJ$3</f>
        <v>160.5</v>
      </c>
      <c r="D6" s="3" t="s">
        <v>4</v>
      </c>
      <c r="E6" s="46" t="s">
        <v>5</v>
      </c>
      <c r="G6" s="27"/>
      <c r="H6" s="27"/>
      <c r="P6" s="8">
        <v>0.1</v>
      </c>
      <c r="Q6" s="9">
        <v>0.93</v>
      </c>
      <c r="R6" s="9">
        <v>0.998</v>
      </c>
      <c r="S6" s="9">
        <f>Q6/R6</f>
        <v>0.93186372745490986</v>
      </c>
      <c r="T6" s="9">
        <v>0.95</v>
      </c>
    </row>
    <row r="7" spans="2:20" x14ac:dyDescent="0.25">
      <c r="B7" s="47" t="s">
        <v>90</v>
      </c>
      <c r="C7" s="40">
        <v>150</v>
      </c>
      <c r="D7" s="3" t="s">
        <v>4</v>
      </c>
      <c r="E7" s="46" t="s">
        <v>6</v>
      </c>
      <c r="G7" s="27"/>
      <c r="H7" s="27"/>
      <c r="P7" s="8">
        <v>0.15</v>
      </c>
      <c r="Q7" s="9">
        <v>0.85499999999999998</v>
      </c>
      <c r="R7" s="9">
        <v>0.996</v>
      </c>
      <c r="S7" s="9">
        <f>Q7/R7</f>
        <v>0.85843373493975905</v>
      </c>
      <c r="T7" s="9">
        <v>0.91</v>
      </c>
    </row>
    <row r="8" spans="2:20" x14ac:dyDescent="0.25">
      <c r="B8" s="47" t="s">
        <v>7</v>
      </c>
      <c r="C8" s="5">
        <f>Lpp-Lines!$AJ$3</f>
        <v>156</v>
      </c>
      <c r="D8" s="3" t="s">
        <v>4</v>
      </c>
      <c r="E8" s="46" t="s">
        <v>5</v>
      </c>
      <c r="G8" s="27"/>
      <c r="H8" s="27"/>
      <c r="P8" s="8">
        <v>0.2</v>
      </c>
      <c r="Q8" s="9">
        <v>0.77200000000000002</v>
      </c>
      <c r="R8" s="9">
        <v>0.99299999999999999</v>
      </c>
      <c r="S8" s="9">
        <f t="shared" ref="S8:S24" si="0">Q8/R8</f>
        <v>0.77744209466263847</v>
      </c>
      <c r="T8" s="9">
        <v>0.87</v>
      </c>
    </row>
    <row r="9" spans="2:20" x14ac:dyDescent="0.25">
      <c r="B9" s="47" t="s">
        <v>8</v>
      </c>
      <c r="C9" s="40">
        <v>25</v>
      </c>
      <c r="D9" s="3" t="s">
        <v>4</v>
      </c>
      <c r="E9" s="46" t="s">
        <v>6</v>
      </c>
      <c r="G9" s="27"/>
      <c r="H9" s="27"/>
      <c r="P9" s="8">
        <v>0.25</v>
      </c>
      <c r="Q9" s="9">
        <v>0.68</v>
      </c>
      <c r="R9" s="9">
        <v>0.98499999999999999</v>
      </c>
      <c r="S9" s="9">
        <f t="shared" si="0"/>
        <v>0.69035532994923865</v>
      </c>
      <c r="T9" s="9">
        <v>0.83499999999999996</v>
      </c>
    </row>
    <row r="10" spans="2:20" x14ac:dyDescent="0.25">
      <c r="B10" s="47" t="s">
        <v>9</v>
      </c>
      <c r="C10" s="40">
        <v>5.5</v>
      </c>
      <c r="D10" s="3" t="s">
        <v>4</v>
      </c>
      <c r="E10" s="46" t="s">
        <v>6</v>
      </c>
      <c r="G10" s="27"/>
      <c r="H10" s="27"/>
      <c r="P10" s="8">
        <v>0.3</v>
      </c>
      <c r="Q10" s="9">
        <v>0.6</v>
      </c>
      <c r="R10" s="9">
        <v>0.96699999999999997</v>
      </c>
      <c r="S10" s="9">
        <f t="shared" si="0"/>
        <v>0.62047569803516034</v>
      </c>
      <c r="T10" s="9">
        <v>0.81</v>
      </c>
    </row>
    <row r="11" spans="2:20" x14ac:dyDescent="0.25">
      <c r="B11" s="47" t="s">
        <v>10</v>
      </c>
      <c r="C11" s="7">
        <v>14</v>
      </c>
      <c r="D11" s="41" t="s">
        <v>4</v>
      </c>
      <c r="E11" s="46" t="s">
        <v>6</v>
      </c>
      <c r="G11" s="27"/>
      <c r="H11" s="27"/>
      <c r="P11" s="8">
        <v>0.35</v>
      </c>
      <c r="Q11" s="9">
        <v>0.53</v>
      </c>
      <c r="R11" s="9">
        <v>0.93</v>
      </c>
      <c r="S11" s="9">
        <f t="shared" si="0"/>
        <v>0.56989247311827962</v>
      </c>
      <c r="T11" s="9">
        <v>0.79400000000000004</v>
      </c>
    </row>
    <row r="12" spans="2:20" ht="15.75" thickBot="1" x14ac:dyDescent="0.3">
      <c r="B12" s="50"/>
      <c r="C12" s="51"/>
      <c r="D12" s="30"/>
      <c r="E12" s="52"/>
      <c r="G12" s="27"/>
      <c r="H12" s="27"/>
      <c r="P12" s="8">
        <v>0.4</v>
      </c>
      <c r="Q12" s="9">
        <v>0.47781865599999995</v>
      </c>
      <c r="R12" s="9">
        <v>0.874</v>
      </c>
      <c r="S12" s="9">
        <f t="shared" si="0"/>
        <v>0.54670326773455369</v>
      </c>
      <c r="T12" s="9">
        <v>0.78</v>
      </c>
    </row>
    <row r="13" spans="2:20" x14ac:dyDescent="0.25">
      <c r="B13" s="42" t="s">
        <v>11</v>
      </c>
      <c r="C13" s="55">
        <f>SAC!Y11</f>
        <v>13294.868124999997</v>
      </c>
      <c r="D13" s="18" t="s">
        <v>12</v>
      </c>
      <c r="E13" s="56" t="s">
        <v>13</v>
      </c>
      <c r="G13" s="27"/>
      <c r="H13" s="27"/>
      <c r="P13" s="8">
        <v>0.45</v>
      </c>
      <c r="Q13" s="9">
        <v>0.4402104962812502</v>
      </c>
      <c r="R13" s="9">
        <v>0.8</v>
      </c>
      <c r="S13" s="9">
        <f t="shared" si="0"/>
        <v>0.55026312035156266</v>
      </c>
      <c r="T13" s="9">
        <v>0.76900000000000002</v>
      </c>
    </row>
    <row r="14" spans="2:20" x14ac:dyDescent="0.25">
      <c r="B14" s="47" t="s">
        <v>14</v>
      </c>
      <c r="C14" s="53">
        <f>Vol*1.025</f>
        <v>13627.239828124995</v>
      </c>
      <c r="D14" s="3" t="s">
        <v>15</v>
      </c>
      <c r="E14" s="57" t="s">
        <v>16</v>
      </c>
      <c r="G14" s="27"/>
      <c r="H14" s="27"/>
      <c r="P14" s="8">
        <v>0.5</v>
      </c>
      <c r="Q14" s="9">
        <v>0.41562812500000046</v>
      </c>
      <c r="R14" s="9">
        <v>0.72499999999999998</v>
      </c>
      <c r="S14" s="9">
        <f t="shared" si="0"/>
        <v>0.57328017241379381</v>
      </c>
      <c r="T14" s="9">
        <v>0.75900000000000001</v>
      </c>
    </row>
    <row r="15" spans="2:20" x14ac:dyDescent="0.25">
      <c r="B15" s="23"/>
      <c r="C15" s="4"/>
      <c r="D15" s="3"/>
      <c r="E15" s="46"/>
      <c r="G15" s="27"/>
      <c r="H15" s="27"/>
      <c r="P15" s="8">
        <v>0.55000000000000004</v>
      </c>
      <c r="Q15" s="9">
        <v>0.40280140684375054</v>
      </c>
      <c r="R15" s="9">
        <v>0.66500000000000004</v>
      </c>
      <c r="S15" s="9">
        <f t="shared" si="0"/>
        <v>0.60571640126879778</v>
      </c>
      <c r="T15" s="9">
        <v>0.75</v>
      </c>
    </row>
    <row r="16" spans="2:20" ht="15.75" thickBot="1" x14ac:dyDescent="0.3">
      <c r="B16" s="48" t="s">
        <v>17</v>
      </c>
      <c r="C16" s="58">
        <f>SAC!$S$22+SAC!$X$11</f>
        <v>43824.090520833321</v>
      </c>
      <c r="D16" s="25" t="s">
        <v>12</v>
      </c>
      <c r="E16" s="49"/>
      <c r="G16" s="27"/>
      <c r="H16" s="27"/>
      <c r="P16" s="8">
        <v>0.6</v>
      </c>
      <c r="Q16" s="9">
        <v>0.39992054400000132</v>
      </c>
      <c r="R16" s="9">
        <v>0.625</v>
      </c>
      <c r="S16" s="9">
        <f t="shared" si="0"/>
        <v>0.63987287040000207</v>
      </c>
      <c r="T16" s="9">
        <v>0.74199999999999999</v>
      </c>
    </row>
    <row r="17" spans="2:20" ht="15.75" thickBot="1" x14ac:dyDescent="0.3">
      <c r="B17" s="38"/>
      <c r="C17" s="39"/>
      <c r="E17" s="2"/>
      <c r="G17" s="27"/>
      <c r="H17" s="27"/>
      <c r="P17" s="8">
        <v>0.65</v>
      </c>
      <c r="Q17" s="9">
        <v>0.40491945990625167</v>
      </c>
      <c r="R17" s="9">
        <v>0.60699999999999998</v>
      </c>
      <c r="S17" s="9">
        <f t="shared" si="0"/>
        <v>0.6670831299938248</v>
      </c>
      <c r="T17" s="9">
        <v>0.73599999999999999</v>
      </c>
    </row>
    <row r="18" spans="2:20" x14ac:dyDescent="0.25">
      <c r="B18" s="42" t="s">
        <v>18</v>
      </c>
      <c r="C18" s="61">
        <v>10</v>
      </c>
      <c r="D18" s="18" t="s">
        <v>19</v>
      </c>
      <c r="E18" s="56" t="s">
        <v>6</v>
      </c>
      <c r="G18" s="27"/>
      <c r="H18" s="27"/>
      <c r="P18" s="8">
        <v>0.7</v>
      </c>
      <c r="Q18" s="9">
        <v>0.41575918300000114</v>
      </c>
      <c r="R18" s="9">
        <v>0.6</v>
      </c>
      <c r="S18" s="9">
        <f t="shared" si="0"/>
        <v>0.69293197166666864</v>
      </c>
      <c r="T18" s="9">
        <v>0.73</v>
      </c>
    </row>
    <row r="19" spans="2:20" ht="15.75" thickBot="1" x14ac:dyDescent="0.3">
      <c r="B19" s="48" t="s">
        <v>91</v>
      </c>
      <c r="C19" s="62">
        <f>V*0.5144/(9.81*Lwl)^0.5</f>
        <v>0.13149346117861591</v>
      </c>
      <c r="D19" s="25"/>
      <c r="E19" s="49"/>
      <c r="G19" s="27"/>
      <c r="H19" s="27"/>
      <c r="P19" s="8">
        <v>0.75</v>
      </c>
      <c r="Q19" s="9">
        <v>0.43071123046875093</v>
      </c>
      <c r="R19" s="9">
        <v>0.60299999999999998</v>
      </c>
      <c r="S19" s="9">
        <f t="shared" si="0"/>
        <v>0.71428064754353393</v>
      </c>
      <c r="T19" s="9">
        <v>0.72599999999999998</v>
      </c>
    </row>
    <row r="20" spans="2:20" ht="15.75" thickBot="1" x14ac:dyDescent="0.3">
      <c r="C20" s="37"/>
      <c r="E20" s="2"/>
      <c r="G20" s="27"/>
      <c r="H20" s="27"/>
      <c r="P20" s="8">
        <v>0.8</v>
      </c>
      <c r="Q20" s="9">
        <v>0.44864099200000007</v>
      </c>
      <c r="R20" s="9">
        <v>0.61199999999999999</v>
      </c>
      <c r="S20" s="9">
        <f>Q20/R20</f>
        <v>0.73307351633986939</v>
      </c>
      <c r="T20" s="9">
        <v>0.72299999999999998</v>
      </c>
    </row>
    <row r="21" spans="2:20" x14ac:dyDescent="0.25">
      <c r="B21" s="67" t="s">
        <v>20</v>
      </c>
      <c r="C21" s="31"/>
      <c r="D21" s="18"/>
      <c r="E21" s="68"/>
      <c r="F21" s="18"/>
      <c r="G21" s="31"/>
      <c r="H21" s="44"/>
      <c r="P21" s="8">
        <v>0.85</v>
      </c>
      <c r="Q21" s="9">
        <v>0.47</v>
      </c>
      <c r="R21" s="9">
        <v>0.627</v>
      </c>
      <c r="S21" s="9">
        <f t="shared" si="0"/>
        <v>0.74960127591706538</v>
      </c>
      <c r="T21" s="9">
        <v>0.72</v>
      </c>
    </row>
    <row r="22" spans="2:20" x14ac:dyDescent="0.25">
      <c r="B22" s="47" t="s">
        <v>21</v>
      </c>
      <c r="C22" s="60">
        <f>Lpp/B</f>
        <v>6</v>
      </c>
      <c r="D22" s="3"/>
      <c r="E22" s="6"/>
      <c r="F22" s="3"/>
      <c r="G22" s="4"/>
      <c r="H22" s="32"/>
      <c r="P22" s="8">
        <v>0.9</v>
      </c>
      <c r="Q22" s="9">
        <v>0.495</v>
      </c>
      <c r="R22" s="9">
        <v>0.64700000000000002</v>
      </c>
      <c r="S22" s="9">
        <f t="shared" si="0"/>
        <v>0.7650695517774343</v>
      </c>
      <c r="T22" s="9">
        <v>0.71799999999999997</v>
      </c>
    </row>
    <row r="23" spans="2:20" x14ac:dyDescent="0.25">
      <c r="B23" s="47" t="s">
        <v>22</v>
      </c>
      <c r="C23" s="60">
        <f>Lpp/D</f>
        <v>10.714285714285714</v>
      </c>
      <c r="D23" s="3"/>
      <c r="E23" s="6"/>
      <c r="F23" s="3"/>
      <c r="G23" s="4"/>
      <c r="H23" s="32"/>
      <c r="P23" s="8">
        <v>0.95</v>
      </c>
      <c r="Q23" s="9">
        <v>0.5252</v>
      </c>
      <c r="R23" s="9">
        <v>0.67200000000000004</v>
      </c>
      <c r="S23" s="9">
        <f t="shared" si="0"/>
        <v>0.78154761904761905</v>
      </c>
      <c r="T23" s="9">
        <v>0.71599999999999997</v>
      </c>
    </row>
    <row r="24" spans="2:20" x14ac:dyDescent="0.25">
      <c r="B24" s="47" t="s">
        <v>23</v>
      </c>
      <c r="C24" s="60">
        <f>B/T</f>
        <v>4.5454545454545459</v>
      </c>
      <c r="D24" s="3"/>
      <c r="E24" s="6"/>
      <c r="F24" s="3"/>
      <c r="G24" s="4"/>
      <c r="H24" s="32"/>
      <c r="P24" s="8">
        <v>1</v>
      </c>
      <c r="Q24" s="9">
        <v>0.56000000000000005</v>
      </c>
      <c r="R24" s="9">
        <v>0.7</v>
      </c>
      <c r="S24" s="9">
        <f t="shared" si="0"/>
        <v>0.80000000000000016</v>
      </c>
      <c r="T24" s="9">
        <v>0.71399999999999997</v>
      </c>
    </row>
    <row r="25" spans="2:20" x14ac:dyDescent="0.25">
      <c r="B25" s="47"/>
      <c r="C25" s="60"/>
      <c r="D25" s="3"/>
      <c r="E25" s="6"/>
      <c r="F25" s="3"/>
      <c r="G25" s="4"/>
      <c r="H25" s="32"/>
      <c r="P25" s="3"/>
      <c r="Q25" s="3"/>
      <c r="R25" s="3"/>
      <c r="S25" s="3"/>
      <c r="T25" s="3"/>
    </row>
    <row r="26" spans="2:20" x14ac:dyDescent="0.25">
      <c r="B26" s="47" t="s">
        <v>24</v>
      </c>
      <c r="C26" s="60">
        <f>Lwl/Vol^(1/3)</f>
        <v>6.5851133325073414</v>
      </c>
      <c r="D26" s="3"/>
      <c r="E26" s="11" t="s">
        <v>25</v>
      </c>
      <c r="F26" s="3"/>
      <c r="G26" s="4"/>
      <c r="H26" s="32"/>
    </row>
    <row r="27" spans="2:20" x14ac:dyDescent="0.25">
      <c r="B27" s="23"/>
      <c r="C27" s="8"/>
      <c r="D27" s="3"/>
      <c r="E27" s="6"/>
      <c r="F27" s="3"/>
      <c r="G27" s="4"/>
      <c r="H27" s="32"/>
    </row>
    <row r="28" spans="2:20" x14ac:dyDescent="0.25">
      <c r="B28" s="47" t="s">
        <v>92</v>
      </c>
      <c r="C28" s="63">
        <f>C13/C8/C9/C10</f>
        <v>0.61980737179487166</v>
      </c>
      <c r="D28" s="3"/>
      <c r="E28" s="6" t="s">
        <v>26</v>
      </c>
      <c r="F28" s="3"/>
      <c r="G28" s="4"/>
      <c r="H28" s="32"/>
    </row>
    <row r="29" spans="2:20" x14ac:dyDescent="0.25">
      <c r="B29" s="23"/>
      <c r="C29" s="4"/>
      <c r="D29" s="3"/>
      <c r="E29" s="6"/>
      <c r="F29" s="3"/>
      <c r="G29" s="4"/>
      <c r="H29" s="32"/>
    </row>
    <row r="30" spans="2:20" x14ac:dyDescent="0.25">
      <c r="B30" s="47" t="s">
        <v>27</v>
      </c>
      <c r="C30" s="64">
        <f>SAC!V21</f>
        <v>134.88749999999999</v>
      </c>
      <c r="D30" s="3" t="s">
        <v>28</v>
      </c>
      <c r="E30" s="6" t="s">
        <v>123</v>
      </c>
      <c r="F30" s="3"/>
      <c r="G30" s="4"/>
      <c r="H30" s="32"/>
    </row>
    <row r="31" spans="2:20" x14ac:dyDescent="0.25">
      <c r="B31" s="45" t="s">
        <v>29</v>
      </c>
      <c r="C31" s="63">
        <f>Am/B/T</f>
        <v>0.98099999999999987</v>
      </c>
      <c r="D31" s="3"/>
      <c r="E31" s="12" t="s">
        <v>30</v>
      </c>
      <c r="F31" s="3"/>
      <c r="G31" s="14" t="s">
        <v>40</v>
      </c>
      <c r="H31" s="69">
        <f>(IF(CB&lt;0.55,CB/0.575,IF(CB&lt;0.65,0.955+0.3*(CB-0.55),0.985+0.05*(CB-0.65))))</f>
        <v>0.9759422115384615</v>
      </c>
    </row>
    <row r="32" spans="2:20" x14ac:dyDescent="0.25">
      <c r="B32" s="23"/>
      <c r="C32" s="4"/>
      <c r="D32" s="3"/>
      <c r="E32" s="13"/>
      <c r="F32" s="3"/>
      <c r="G32" s="4"/>
      <c r="H32" s="32"/>
    </row>
    <row r="33" spans="2:8" x14ac:dyDescent="0.25">
      <c r="B33" s="45" t="s">
        <v>31</v>
      </c>
      <c r="C33" s="65">
        <f>CB/CM</f>
        <v>0.63181179591730041</v>
      </c>
      <c r="D33" s="3"/>
      <c r="E33" s="11" t="s">
        <v>32</v>
      </c>
      <c r="F33" s="3"/>
      <c r="G33" s="4"/>
      <c r="H33" s="32"/>
    </row>
    <row r="34" spans="2:8" x14ac:dyDescent="0.25">
      <c r="B34" s="23"/>
      <c r="C34" s="4"/>
      <c r="D34" s="3"/>
      <c r="E34" s="6"/>
      <c r="F34" s="3"/>
      <c r="G34" s="4"/>
      <c r="H34" s="32"/>
    </row>
    <row r="35" spans="2:8" x14ac:dyDescent="0.25">
      <c r="B35" s="47" t="s">
        <v>33</v>
      </c>
      <c r="C35" s="54">
        <f>SAC!S11</f>
        <v>3190</v>
      </c>
      <c r="D35" s="3" t="s">
        <v>28</v>
      </c>
      <c r="E35" s="6" t="s">
        <v>123</v>
      </c>
      <c r="F35" s="3"/>
      <c r="G35" s="4"/>
      <c r="H35" s="32"/>
    </row>
    <row r="36" spans="2:8" x14ac:dyDescent="0.25">
      <c r="B36" s="45" t="s">
        <v>34</v>
      </c>
      <c r="C36" s="63">
        <f>Aw/Lpp/B</f>
        <v>0.85066666666666668</v>
      </c>
      <c r="D36" s="3"/>
      <c r="E36" s="12" t="s">
        <v>35</v>
      </c>
      <c r="F36" s="3"/>
      <c r="G36" s="14" t="s">
        <v>40</v>
      </c>
      <c r="H36" s="70">
        <f>0.3*CB^1.9+0.7</f>
        <v>0.82089519931118637</v>
      </c>
    </row>
    <row r="37" spans="2:8" x14ac:dyDescent="0.25">
      <c r="B37" s="23"/>
      <c r="C37" s="4"/>
      <c r="D37" s="3"/>
      <c r="E37" s="6"/>
      <c r="F37" s="3"/>
      <c r="G37" s="4"/>
      <c r="H37" s="32"/>
    </row>
    <row r="38" spans="2:8" x14ac:dyDescent="0.25">
      <c r="B38" s="47" t="s">
        <v>36</v>
      </c>
      <c r="C38" s="66">
        <f>SAC!Z11</f>
        <v>-6.4111420059685632E-3</v>
      </c>
      <c r="D38" s="3"/>
      <c r="E38" s="6" t="s">
        <v>123</v>
      </c>
      <c r="F38" s="3"/>
      <c r="G38" s="4"/>
      <c r="H38" s="32"/>
    </row>
    <row r="39" spans="2:8" x14ac:dyDescent="0.25">
      <c r="B39" s="23"/>
      <c r="C39" s="4"/>
      <c r="D39" s="3"/>
      <c r="E39" s="6"/>
      <c r="F39" s="3"/>
      <c r="G39" s="4"/>
      <c r="H39" s="32"/>
    </row>
    <row r="40" spans="2:8" x14ac:dyDescent="0.25">
      <c r="B40" s="45" t="s">
        <v>37</v>
      </c>
      <c r="C40" s="10">
        <f>SAC!AA11</f>
        <v>3.0664156926340329</v>
      </c>
      <c r="D40" s="3"/>
      <c r="E40" s="6" t="s">
        <v>123</v>
      </c>
      <c r="F40" s="3"/>
      <c r="G40" s="14" t="s">
        <v>40</v>
      </c>
      <c r="H40" s="71">
        <f>T*(5/6-1/3*CB/CW)</f>
        <v>3.2475415837754209</v>
      </c>
    </row>
    <row r="41" spans="2:8" x14ac:dyDescent="0.25">
      <c r="B41" s="45" t="s">
        <v>38</v>
      </c>
      <c r="C41" s="10">
        <f>SAC!AB11</f>
        <v>10.750474514430044</v>
      </c>
      <c r="D41" s="3"/>
      <c r="E41" s="6" t="s">
        <v>123</v>
      </c>
      <c r="F41" s="3"/>
      <c r="G41" s="14" t="s">
        <v>40</v>
      </c>
      <c r="H41" s="71">
        <f>(12/323*((2*CW+1)^3)*Lpp*(B^3)/12)/Vol</f>
        <v>10.758686726321342</v>
      </c>
    </row>
    <row r="42" spans="2:8" x14ac:dyDescent="0.25">
      <c r="B42" s="45" t="s">
        <v>39</v>
      </c>
      <c r="C42" s="10">
        <f>SAC!AC11</f>
        <v>13.816890207064077</v>
      </c>
      <c r="D42" s="3"/>
      <c r="E42" s="6" t="s">
        <v>123</v>
      </c>
      <c r="F42" s="3"/>
      <c r="G42" s="14" t="s">
        <v>40</v>
      </c>
      <c r="H42" s="72">
        <f>H40+H41</f>
        <v>14.006228310096763</v>
      </c>
    </row>
    <row r="43" spans="2:8" ht="15.75" thickBot="1" x14ac:dyDescent="0.3">
      <c r="B43" s="24"/>
      <c r="C43" s="73"/>
      <c r="D43" s="25"/>
      <c r="E43" s="73"/>
      <c r="F43" s="25"/>
      <c r="G43" s="25"/>
      <c r="H43" s="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252E-323D-4188-A981-B186D33E7A44}">
  <dimension ref="B4:S43"/>
  <sheetViews>
    <sheetView zoomScale="70" zoomScaleNormal="70" workbookViewId="0">
      <selection activeCell="K37" sqref="K37"/>
    </sheetView>
  </sheetViews>
  <sheetFormatPr defaultRowHeight="15" x14ac:dyDescent="0.25"/>
  <cols>
    <col min="4" max="4" width="13.5703125" customWidth="1"/>
    <col min="5" max="5" width="16.5703125" customWidth="1"/>
  </cols>
  <sheetData>
    <row r="4" spans="2:19" ht="15.75" thickBot="1" x14ac:dyDescent="0.3"/>
    <row r="5" spans="2:19" x14ac:dyDescent="0.25">
      <c r="B5" s="29"/>
      <c r="C5" s="18"/>
      <c r="D5" s="18"/>
      <c r="E5" s="18"/>
      <c r="F5" s="18"/>
      <c r="G5" s="156" t="s">
        <v>124</v>
      </c>
      <c r="H5" s="157"/>
      <c r="I5" s="157"/>
      <c r="J5" s="157"/>
      <c r="K5" s="157"/>
      <c r="L5" s="158"/>
      <c r="M5" s="18"/>
      <c r="N5" s="18"/>
      <c r="O5" s="18"/>
      <c r="P5" s="18"/>
      <c r="Q5" s="18"/>
      <c r="R5" s="18"/>
      <c r="S5" s="20"/>
    </row>
    <row r="6" spans="2:19" ht="15.75" thickBot="1" x14ac:dyDescent="0.3">
      <c r="B6" s="3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6"/>
    </row>
    <row r="7" spans="2:19" x14ac:dyDescent="0.25">
      <c r="B7" s="117"/>
      <c r="C7" s="117"/>
      <c r="D7" s="29" t="s">
        <v>60</v>
      </c>
      <c r="E7" s="18"/>
      <c r="F7" s="20" t="s">
        <v>63</v>
      </c>
      <c r="G7" s="29" t="s">
        <v>65</v>
      </c>
      <c r="H7" s="18" t="s">
        <v>66</v>
      </c>
      <c r="I7" s="18" t="s">
        <v>67</v>
      </c>
      <c r="J7" s="18" t="s">
        <v>68</v>
      </c>
      <c r="K7" s="18" t="s">
        <v>69</v>
      </c>
      <c r="L7" s="18" t="s">
        <v>70</v>
      </c>
      <c r="M7" s="18" t="s">
        <v>71</v>
      </c>
      <c r="N7" s="18" t="s">
        <v>72</v>
      </c>
      <c r="O7" s="18" t="s">
        <v>73</v>
      </c>
      <c r="P7" s="18" t="s">
        <v>74</v>
      </c>
      <c r="Q7" s="20" t="s">
        <v>75</v>
      </c>
      <c r="R7" s="17" t="s">
        <v>76</v>
      </c>
      <c r="S7" s="20"/>
    </row>
    <row r="8" spans="2:19" ht="15.75" thickBot="1" x14ac:dyDescent="0.3">
      <c r="B8" s="119"/>
      <c r="C8" s="119" t="s">
        <v>59</v>
      </c>
      <c r="D8" s="24" t="s">
        <v>61</v>
      </c>
      <c r="E8" s="25" t="s">
        <v>62</v>
      </c>
      <c r="F8" s="26" t="s">
        <v>64</v>
      </c>
      <c r="G8" s="24">
        <v>0</v>
      </c>
      <c r="H8" s="25">
        <f t="shared" ref="H8:Q8" si="0">H29*Lpp</f>
        <v>15</v>
      </c>
      <c r="I8" s="25">
        <f t="shared" si="0"/>
        <v>30</v>
      </c>
      <c r="J8" s="25">
        <f t="shared" si="0"/>
        <v>45</v>
      </c>
      <c r="K8" s="25">
        <f t="shared" si="0"/>
        <v>60</v>
      </c>
      <c r="L8" s="25">
        <f t="shared" si="0"/>
        <v>75</v>
      </c>
      <c r="M8" s="25">
        <f t="shared" si="0"/>
        <v>90</v>
      </c>
      <c r="N8" s="25">
        <f t="shared" si="0"/>
        <v>105</v>
      </c>
      <c r="O8" s="25">
        <f t="shared" si="0"/>
        <v>120</v>
      </c>
      <c r="P8" s="25">
        <f t="shared" si="0"/>
        <v>135</v>
      </c>
      <c r="Q8" s="25">
        <f t="shared" si="0"/>
        <v>150</v>
      </c>
      <c r="R8" s="76" t="s">
        <v>61</v>
      </c>
      <c r="S8" s="26" t="s">
        <v>62</v>
      </c>
    </row>
    <row r="9" spans="2:19" x14ac:dyDescent="0.25">
      <c r="B9" s="125" t="s">
        <v>46</v>
      </c>
      <c r="C9" s="126">
        <f>1*(D-T)+T</f>
        <v>14</v>
      </c>
      <c r="D9" s="21">
        <f t="shared" ref="D9:D20" si="1">D30*Lpp</f>
        <v>-6</v>
      </c>
      <c r="E9" s="15">
        <f t="shared" ref="E9:E20" si="2">E30*B/2</f>
        <v>11.875</v>
      </c>
      <c r="F9" s="28"/>
      <c r="G9" s="21">
        <f t="shared" ref="G9:Q9" si="3">G30*B/2</f>
        <v>12.375</v>
      </c>
      <c r="H9" s="15">
        <f t="shared" si="3"/>
        <v>12.5</v>
      </c>
      <c r="I9" s="15">
        <f t="shared" si="3"/>
        <v>12.5</v>
      </c>
      <c r="J9" s="15">
        <f t="shared" si="3"/>
        <v>12.5</v>
      </c>
      <c r="K9" s="15">
        <f t="shared" si="3"/>
        <v>12.5</v>
      </c>
      <c r="L9" s="15">
        <f t="shared" si="3"/>
        <v>12.5</v>
      </c>
      <c r="M9" s="15">
        <f t="shared" si="3"/>
        <v>12.5</v>
      </c>
      <c r="N9" s="15">
        <f t="shared" si="3"/>
        <v>12.5</v>
      </c>
      <c r="O9" s="15">
        <f t="shared" si="3"/>
        <v>12.5</v>
      </c>
      <c r="P9" s="15">
        <f t="shared" si="3"/>
        <v>11.125</v>
      </c>
      <c r="Q9" s="28">
        <f t="shared" si="3"/>
        <v>6.25</v>
      </c>
      <c r="R9" s="127">
        <f t="shared" ref="R9:R20" si="4">R30*Lpp</f>
        <v>154.5</v>
      </c>
      <c r="S9" s="28">
        <f t="shared" ref="S9:S20" si="5">S30*B/2</f>
        <v>2.5</v>
      </c>
    </row>
    <row r="10" spans="2:19" x14ac:dyDescent="0.25">
      <c r="B10" s="118" t="s">
        <v>47</v>
      </c>
      <c r="C10" s="122">
        <f>0.75*(D-T)+T</f>
        <v>11.875</v>
      </c>
      <c r="D10" s="23">
        <f t="shared" si="1"/>
        <v>-5.7</v>
      </c>
      <c r="E10" s="3">
        <f t="shared" si="2"/>
        <v>11.75</v>
      </c>
      <c r="F10" s="22"/>
      <c r="G10" s="23">
        <f t="shared" ref="G10:Q10" si="6">G31*B/2</f>
        <v>12.3375</v>
      </c>
      <c r="H10" s="3">
        <f t="shared" si="6"/>
        <v>12.5</v>
      </c>
      <c r="I10" s="3">
        <f t="shared" si="6"/>
        <v>12.5</v>
      </c>
      <c r="J10" s="3">
        <f t="shared" si="6"/>
        <v>12.5</v>
      </c>
      <c r="K10" s="3">
        <f t="shared" si="6"/>
        <v>12.5</v>
      </c>
      <c r="L10" s="3">
        <f t="shared" si="6"/>
        <v>12.5</v>
      </c>
      <c r="M10" s="3">
        <f t="shared" si="6"/>
        <v>12.5</v>
      </c>
      <c r="N10" s="3">
        <f t="shared" si="6"/>
        <v>12.5</v>
      </c>
      <c r="O10" s="3">
        <f t="shared" si="6"/>
        <v>12.375</v>
      </c>
      <c r="P10" s="3">
        <f t="shared" si="6"/>
        <v>10.25</v>
      </c>
      <c r="Q10" s="22">
        <f t="shared" si="6"/>
        <v>4.375</v>
      </c>
      <c r="R10" s="127">
        <f t="shared" si="4"/>
        <v>153.30000000000001</v>
      </c>
      <c r="S10" s="22">
        <f t="shared" si="5"/>
        <v>1.5</v>
      </c>
    </row>
    <row r="11" spans="2:19" x14ac:dyDescent="0.25">
      <c r="B11" s="118" t="s">
        <v>48</v>
      </c>
      <c r="C11" s="122">
        <f>0.5*(D-T)+T</f>
        <v>9.75</v>
      </c>
      <c r="D11" s="23">
        <f t="shared" si="1"/>
        <v>-5.2500000000000009</v>
      </c>
      <c r="E11" s="3">
        <f t="shared" si="2"/>
        <v>11.375</v>
      </c>
      <c r="F11" s="22"/>
      <c r="G11" s="23">
        <f t="shared" ref="G11:Q11" si="7">G32*B/2</f>
        <v>12</v>
      </c>
      <c r="H11" s="3">
        <f t="shared" si="7"/>
        <v>12.5</v>
      </c>
      <c r="I11" s="3">
        <f t="shared" si="7"/>
        <v>12.5</v>
      </c>
      <c r="J11" s="3">
        <f t="shared" si="7"/>
        <v>12.5</v>
      </c>
      <c r="K11" s="3">
        <f t="shared" si="7"/>
        <v>12.5</v>
      </c>
      <c r="L11" s="3">
        <f t="shared" si="7"/>
        <v>12.5</v>
      </c>
      <c r="M11" s="3">
        <f t="shared" si="7"/>
        <v>12.5</v>
      </c>
      <c r="N11" s="3">
        <f t="shared" si="7"/>
        <v>12.5</v>
      </c>
      <c r="O11" s="3">
        <f t="shared" si="7"/>
        <v>12</v>
      </c>
      <c r="P11" s="3">
        <f t="shared" si="7"/>
        <v>9.25</v>
      </c>
      <c r="Q11" s="22">
        <f t="shared" si="7"/>
        <v>2.5</v>
      </c>
      <c r="R11" s="127">
        <f t="shared" si="4"/>
        <v>151.94999999999999</v>
      </c>
      <c r="S11" s="22">
        <f t="shared" si="5"/>
        <v>0.75</v>
      </c>
    </row>
    <row r="12" spans="2:19" x14ac:dyDescent="0.25">
      <c r="B12" s="118" t="s">
        <v>49</v>
      </c>
      <c r="C12" s="122">
        <f>0.25*(D-T)+T</f>
        <v>7.625</v>
      </c>
      <c r="D12" s="23">
        <f t="shared" si="1"/>
        <v>-4.5</v>
      </c>
      <c r="E12" s="3">
        <f t="shared" si="2"/>
        <v>9.375</v>
      </c>
      <c r="F12" s="22"/>
      <c r="G12" s="23">
        <f t="shared" ref="G12:Q12" si="8">G33*B/2</f>
        <v>10.5</v>
      </c>
      <c r="H12" s="3">
        <f t="shared" si="8"/>
        <v>12.125</v>
      </c>
      <c r="I12" s="3">
        <f t="shared" si="8"/>
        <v>12.5</v>
      </c>
      <c r="J12" s="3">
        <f t="shared" si="8"/>
        <v>12.5</v>
      </c>
      <c r="K12" s="3">
        <f t="shared" si="8"/>
        <v>12.5</v>
      </c>
      <c r="L12" s="3">
        <f t="shared" si="8"/>
        <v>12.5</v>
      </c>
      <c r="M12" s="3">
        <f t="shared" si="8"/>
        <v>12.5</v>
      </c>
      <c r="N12" s="3">
        <f t="shared" si="8"/>
        <v>12.5</v>
      </c>
      <c r="O12" s="3">
        <f t="shared" si="8"/>
        <v>11.25</v>
      </c>
      <c r="P12" s="3">
        <f t="shared" si="8"/>
        <v>7.875</v>
      </c>
      <c r="Q12" s="22">
        <f t="shared" si="8"/>
        <v>1</v>
      </c>
      <c r="R12" s="127">
        <f t="shared" si="4"/>
        <v>150.9</v>
      </c>
      <c r="S12" s="22">
        <f t="shared" si="5"/>
        <v>0.25</v>
      </c>
    </row>
    <row r="13" spans="2:19" x14ac:dyDescent="0.25">
      <c r="B13" s="118" t="s">
        <v>50</v>
      </c>
      <c r="C13" s="123">
        <f>T</f>
        <v>5.5</v>
      </c>
      <c r="D13" s="23">
        <f t="shared" si="1"/>
        <v>-3.75</v>
      </c>
      <c r="E13" s="3">
        <f t="shared" si="2"/>
        <v>0</v>
      </c>
      <c r="F13" s="22">
        <f t="shared" ref="F13:F20" si="9">F34*Lpp</f>
        <v>-3.75</v>
      </c>
      <c r="G13" s="23">
        <f t="shared" ref="G13:Q13" si="10">G34*B/2</f>
        <v>5</v>
      </c>
      <c r="H13" s="3">
        <f t="shared" si="10"/>
        <v>10.875</v>
      </c>
      <c r="I13" s="3">
        <f t="shared" si="10"/>
        <v>12.3125</v>
      </c>
      <c r="J13" s="3">
        <f t="shared" si="10"/>
        <v>12.5</v>
      </c>
      <c r="K13" s="3">
        <f t="shared" si="10"/>
        <v>12.5</v>
      </c>
      <c r="L13" s="3">
        <f t="shared" si="10"/>
        <v>12.5</v>
      </c>
      <c r="M13" s="3">
        <f t="shared" si="10"/>
        <v>12.5</v>
      </c>
      <c r="N13" s="3">
        <f t="shared" si="10"/>
        <v>12.25</v>
      </c>
      <c r="O13" s="3">
        <f t="shared" si="10"/>
        <v>10.25</v>
      </c>
      <c r="P13" s="3">
        <f t="shared" si="10"/>
        <v>6.125</v>
      </c>
      <c r="Q13" s="22">
        <f t="shared" si="10"/>
        <v>0</v>
      </c>
      <c r="R13" s="127">
        <f t="shared" si="4"/>
        <v>150</v>
      </c>
      <c r="S13" s="22">
        <f t="shared" si="5"/>
        <v>0</v>
      </c>
    </row>
    <row r="14" spans="2:19" x14ac:dyDescent="0.25">
      <c r="B14" s="118" t="s">
        <v>51</v>
      </c>
      <c r="C14" s="122">
        <f>0.8*T</f>
        <v>4.4000000000000004</v>
      </c>
      <c r="D14" s="23">
        <f t="shared" si="1"/>
        <v>4.8</v>
      </c>
      <c r="E14" s="3">
        <f t="shared" si="2"/>
        <v>0</v>
      </c>
      <c r="F14" s="22">
        <f t="shared" si="9"/>
        <v>6</v>
      </c>
      <c r="G14" s="23">
        <f t="shared" ref="G14:Q14" si="11">G35*B/2</f>
        <v>-5</v>
      </c>
      <c r="H14" s="3">
        <f t="shared" si="11"/>
        <v>8.125</v>
      </c>
      <c r="I14" s="3">
        <f t="shared" si="11"/>
        <v>11.625</v>
      </c>
      <c r="J14" s="3">
        <f t="shared" si="11"/>
        <v>12.4625</v>
      </c>
      <c r="K14" s="3">
        <f t="shared" si="11"/>
        <v>12.5</v>
      </c>
      <c r="L14" s="3">
        <f t="shared" si="11"/>
        <v>12.5</v>
      </c>
      <c r="M14" s="3">
        <f t="shared" si="11"/>
        <v>12.5</v>
      </c>
      <c r="N14" s="3">
        <f t="shared" si="11"/>
        <v>11.875</v>
      </c>
      <c r="O14" s="3">
        <f t="shared" si="11"/>
        <v>9.5</v>
      </c>
      <c r="P14" s="3">
        <f t="shared" si="11"/>
        <v>5.125</v>
      </c>
      <c r="Q14" s="22">
        <f t="shared" si="11"/>
        <v>0.125</v>
      </c>
      <c r="R14" s="127">
        <f t="shared" si="4"/>
        <v>150</v>
      </c>
      <c r="S14" s="22">
        <f t="shared" si="5"/>
        <v>0</v>
      </c>
    </row>
    <row r="15" spans="2:19" x14ac:dyDescent="0.25">
      <c r="B15" s="118" t="s">
        <v>52</v>
      </c>
      <c r="C15" s="122">
        <f>0.6*T</f>
        <v>3.3</v>
      </c>
      <c r="D15" s="23">
        <f t="shared" si="1"/>
        <v>5.7</v>
      </c>
      <c r="E15" s="3">
        <f t="shared" si="2"/>
        <v>0</v>
      </c>
      <c r="F15" s="22">
        <f t="shared" si="9"/>
        <v>13.5</v>
      </c>
      <c r="G15" s="23">
        <f t="shared" ref="G15:Q15" si="12">G36*B/2</f>
        <v>-12.5</v>
      </c>
      <c r="H15" s="3">
        <f t="shared" si="12"/>
        <v>2.5</v>
      </c>
      <c r="I15" s="3">
        <f t="shared" si="12"/>
        <v>10</v>
      </c>
      <c r="J15" s="3">
        <f t="shared" si="12"/>
        <v>12.25</v>
      </c>
      <c r="K15" s="3">
        <f t="shared" si="12"/>
        <v>12.5</v>
      </c>
      <c r="L15" s="3">
        <f t="shared" si="12"/>
        <v>12.5</v>
      </c>
      <c r="M15" s="3">
        <f t="shared" si="12"/>
        <v>12.375</v>
      </c>
      <c r="N15" s="3">
        <f t="shared" si="12"/>
        <v>11.25</v>
      </c>
      <c r="O15" s="3">
        <f t="shared" si="12"/>
        <v>8.375</v>
      </c>
      <c r="P15" s="3">
        <f t="shared" si="12"/>
        <v>4.125</v>
      </c>
      <c r="Q15" s="22">
        <f t="shared" si="12"/>
        <v>0.75</v>
      </c>
      <c r="R15" s="127">
        <f t="shared" si="4"/>
        <v>151.19999999999999</v>
      </c>
      <c r="S15" s="22">
        <f t="shared" si="5"/>
        <v>0.5</v>
      </c>
    </row>
    <row r="16" spans="2:19" x14ac:dyDescent="0.25">
      <c r="B16" s="118" t="s">
        <v>53</v>
      </c>
      <c r="C16" s="122">
        <f>0.4*T</f>
        <v>2.2000000000000002</v>
      </c>
      <c r="D16" s="23">
        <f t="shared" si="1"/>
        <v>6</v>
      </c>
      <c r="E16" s="3">
        <f t="shared" si="2"/>
        <v>0</v>
      </c>
      <c r="F16" s="22">
        <f t="shared" si="9"/>
        <v>18</v>
      </c>
      <c r="G16" s="23">
        <f t="shared" ref="G16:Q16" si="13">G37*B/2</f>
        <v>-25</v>
      </c>
      <c r="H16" s="3">
        <f t="shared" si="13"/>
        <v>-2.5</v>
      </c>
      <c r="I16" s="3">
        <f t="shared" si="13"/>
        <v>7.2499999999999991</v>
      </c>
      <c r="J16" s="3">
        <f t="shared" si="13"/>
        <v>11.625</v>
      </c>
      <c r="K16" s="3">
        <f t="shared" si="13"/>
        <v>12.4375</v>
      </c>
      <c r="L16" s="3">
        <f t="shared" si="13"/>
        <v>12.4375</v>
      </c>
      <c r="M16" s="3">
        <f t="shared" si="13"/>
        <v>12</v>
      </c>
      <c r="N16" s="3">
        <f t="shared" si="13"/>
        <v>10.25</v>
      </c>
      <c r="O16" s="3">
        <f t="shared" si="13"/>
        <v>7.0000000000000009</v>
      </c>
      <c r="P16" s="3">
        <f t="shared" si="13"/>
        <v>3</v>
      </c>
      <c r="Q16" s="22">
        <f t="shared" si="13"/>
        <v>0.87500000000000011</v>
      </c>
      <c r="R16" s="127">
        <f t="shared" si="4"/>
        <v>152.24999999999997</v>
      </c>
      <c r="S16" s="22">
        <f t="shared" si="5"/>
        <v>0.625</v>
      </c>
    </row>
    <row r="17" spans="2:19" x14ac:dyDescent="0.25">
      <c r="B17" s="118" t="s">
        <v>54</v>
      </c>
      <c r="C17" s="122">
        <f>0.2*T</f>
        <v>1.1000000000000001</v>
      </c>
      <c r="D17" s="23">
        <f t="shared" si="1"/>
        <v>6</v>
      </c>
      <c r="E17" s="3">
        <f t="shared" si="2"/>
        <v>0</v>
      </c>
      <c r="F17" s="22">
        <f t="shared" si="9"/>
        <v>22.5</v>
      </c>
      <c r="G17" s="23">
        <f t="shared" ref="G17:Q17" si="14">G38*B/2</f>
        <v>-25</v>
      </c>
      <c r="H17" s="3">
        <f t="shared" si="14"/>
        <v>-6.25</v>
      </c>
      <c r="I17" s="3">
        <f t="shared" si="14"/>
        <v>4.125</v>
      </c>
      <c r="J17" s="3">
        <f t="shared" si="14"/>
        <v>10</v>
      </c>
      <c r="K17" s="3">
        <f t="shared" si="14"/>
        <v>12.125</v>
      </c>
      <c r="L17" s="3">
        <f t="shared" si="14"/>
        <v>12.125</v>
      </c>
      <c r="M17" s="3">
        <f t="shared" si="14"/>
        <v>11</v>
      </c>
      <c r="N17" s="3">
        <f t="shared" si="14"/>
        <v>8.625</v>
      </c>
      <c r="O17" s="3">
        <f t="shared" si="14"/>
        <v>5</v>
      </c>
      <c r="P17" s="3">
        <f t="shared" si="14"/>
        <v>1.7500000000000002</v>
      </c>
      <c r="Q17" s="22">
        <f t="shared" si="14"/>
        <v>0.75</v>
      </c>
      <c r="R17" s="127">
        <f t="shared" si="4"/>
        <v>152.24999999999997</v>
      </c>
      <c r="S17" s="22">
        <f t="shared" si="5"/>
        <v>0.5</v>
      </c>
    </row>
    <row r="18" spans="2:19" x14ac:dyDescent="0.25">
      <c r="B18" s="118" t="s">
        <v>55</v>
      </c>
      <c r="C18" s="122">
        <f>0.1*T</f>
        <v>0.55000000000000004</v>
      </c>
      <c r="D18" s="23">
        <f t="shared" si="1"/>
        <v>6</v>
      </c>
      <c r="E18" s="3">
        <f t="shared" si="2"/>
        <v>0</v>
      </c>
      <c r="F18" s="22">
        <f t="shared" si="9"/>
        <v>25.500000000000004</v>
      </c>
      <c r="G18" s="23">
        <f t="shared" ref="G18:Q18" si="15">G39*B/2</f>
        <v>-25</v>
      </c>
      <c r="H18" s="3">
        <f t="shared" si="15"/>
        <v>-8.75</v>
      </c>
      <c r="I18" s="3">
        <f t="shared" si="15"/>
        <v>1.625</v>
      </c>
      <c r="J18" s="3">
        <f t="shared" si="15"/>
        <v>8.375</v>
      </c>
      <c r="K18" s="3">
        <f t="shared" si="15"/>
        <v>11.625</v>
      </c>
      <c r="L18" s="3">
        <f t="shared" si="15"/>
        <v>11.625</v>
      </c>
      <c r="M18" s="3">
        <f t="shared" si="15"/>
        <v>10</v>
      </c>
      <c r="N18" s="3">
        <f t="shared" si="15"/>
        <v>6.8750000000000009</v>
      </c>
      <c r="O18" s="3">
        <f t="shared" si="15"/>
        <v>3.5000000000000004</v>
      </c>
      <c r="P18" s="3">
        <f t="shared" si="15"/>
        <v>1</v>
      </c>
      <c r="Q18" s="22">
        <f t="shared" si="15"/>
        <v>0.5</v>
      </c>
      <c r="R18" s="127">
        <f t="shared" si="4"/>
        <v>151.94999999999999</v>
      </c>
      <c r="S18" s="22">
        <f t="shared" si="5"/>
        <v>0.375</v>
      </c>
    </row>
    <row r="19" spans="2:19" x14ac:dyDescent="0.25">
      <c r="B19" s="118" t="s">
        <v>56</v>
      </c>
      <c r="C19" s="122">
        <v>0</v>
      </c>
      <c r="D19" s="23">
        <f t="shared" si="1"/>
        <v>6</v>
      </c>
      <c r="E19" s="3">
        <f t="shared" si="2"/>
        <v>0</v>
      </c>
      <c r="F19" s="22">
        <f t="shared" si="9"/>
        <v>30</v>
      </c>
      <c r="G19" s="23">
        <f t="shared" ref="G19:Q19" si="16">G40*B/2</f>
        <v>-25</v>
      </c>
      <c r="H19" s="3">
        <f t="shared" si="16"/>
        <v>-12.5</v>
      </c>
      <c r="I19" s="3">
        <f t="shared" si="16"/>
        <v>-1.875</v>
      </c>
      <c r="J19" s="3">
        <f t="shared" si="16"/>
        <v>5.875</v>
      </c>
      <c r="K19" s="3">
        <f t="shared" si="16"/>
        <v>10.5</v>
      </c>
      <c r="L19" s="3">
        <f t="shared" si="16"/>
        <v>10.5</v>
      </c>
      <c r="M19" s="3">
        <f t="shared" si="16"/>
        <v>8.125</v>
      </c>
      <c r="N19" s="3">
        <f t="shared" si="16"/>
        <v>4.5</v>
      </c>
      <c r="O19" s="3">
        <f t="shared" si="16"/>
        <v>1.7500000000000002</v>
      </c>
      <c r="P19" s="3">
        <f t="shared" si="16"/>
        <v>0.1875</v>
      </c>
      <c r="Q19" s="22">
        <f t="shared" si="16"/>
        <v>0.125</v>
      </c>
      <c r="R19" s="127">
        <f t="shared" si="4"/>
        <v>150</v>
      </c>
      <c r="S19" s="22">
        <f t="shared" si="5"/>
        <v>1.2500000000000001E-2</v>
      </c>
    </row>
    <row r="20" spans="2:19" ht="15.75" thickBot="1" x14ac:dyDescent="0.3">
      <c r="B20" s="118" t="s">
        <v>57</v>
      </c>
      <c r="C20" s="122">
        <v>0</v>
      </c>
      <c r="D20" s="23">
        <f t="shared" si="1"/>
        <v>6</v>
      </c>
      <c r="E20" s="3">
        <f t="shared" si="2"/>
        <v>0</v>
      </c>
      <c r="F20" s="22">
        <f t="shared" si="9"/>
        <v>33</v>
      </c>
      <c r="G20" s="24">
        <f t="shared" ref="G20:Q20" si="17">G41*B/2</f>
        <v>-25</v>
      </c>
      <c r="H20" s="25">
        <f t="shared" si="17"/>
        <v>-12.5</v>
      </c>
      <c r="I20" s="25">
        <f t="shared" si="17"/>
        <v>-2.5</v>
      </c>
      <c r="J20" s="25">
        <f t="shared" si="17"/>
        <v>5.625</v>
      </c>
      <c r="K20" s="25">
        <f t="shared" si="17"/>
        <v>10</v>
      </c>
      <c r="L20" s="25">
        <f t="shared" si="17"/>
        <v>10</v>
      </c>
      <c r="M20" s="25">
        <f t="shared" si="17"/>
        <v>7.875</v>
      </c>
      <c r="N20" s="25">
        <f t="shared" si="17"/>
        <v>4.375</v>
      </c>
      <c r="O20" s="25">
        <f t="shared" si="17"/>
        <v>1.625</v>
      </c>
      <c r="P20" s="25">
        <f t="shared" si="17"/>
        <v>0.125</v>
      </c>
      <c r="Q20" s="26">
        <f t="shared" si="17"/>
        <v>0</v>
      </c>
      <c r="R20" s="127">
        <f t="shared" si="4"/>
        <v>147</v>
      </c>
      <c r="S20" s="22">
        <f t="shared" si="5"/>
        <v>0</v>
      </c>
    </row>
    <row r="21" spans="2:19" ht="15.75" thickBot="1" x14ac:dyDescent="0.3">
      <c r="B21" s="119" t="s">
        <v>58</v>
      </c>
      <c r="C21" s="124">
        <v>0</v>
      </c>
      <c r="D21" s="24"/>
      <c r="E21" s="25"/>
      <c r="F21" s="26"/>
      <c r="G21" s="128"/>
      <c r="H21" s="129"/>
      <c r="I21" s="129"/>
      <c r="J21" s="129"/>
      <c r="K21" s="129"/>
      <c r="L21" s="129">
        <v>0</v>
      </c>
      <c r="M21" s="129"/>
      <c r="N21" s="129"/>
      <c r="O21" s="129"/>
      <c r="P21" s="129"/>
      <c r="Q21" s="129"/>
      <c r="R21" s="25"/>
      <c r="S21" s="26"/>
    </row>
    <row r="25" spans="2:19" ht="15.75" thickBot="1" x14ac:dyDescent="0.3"/>
    <row r="26" spans="2:19" x14ac:dyDescent="0.25">
      <c r="B26" s="29"/>
      <c r="C26" s="18"/>
      <c r="D26" s="18"/>
      <c r="E26" s="18"/>
      <c r="F26" s="18"/>
      <c r="G26" s="18"/>
      <c r="H26" s="156" t="s">
        <v>128</v>
      </c>
      <c r="I26" s="157"/>
      <c r="J26" s="157"/>
      <c r="K26" s="157"/>
      <c r="L26" s="158"/>
      <c r="M26" s="18"/>
      <c r="N26" s="18"/>
      <c r="O26" s="18"/>
      <c r="P26" s="18"/>
      <c r="Q26" s="18"/>
      <c r="R26" s="18"/>
      <c r="S26" s="20"/>
    </row>
    <row r="27" spans="2:19" ht="15.75" thickBot="1" x14ac:dyDescent="0.3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</row>
    <row r="28" spans="2:19" x14ac:dyDescent="0.25">
      <c r="B28" s="86"/>
      <c r="C28" s="86"/>
      <c r="D28" s="159" t="s">
        <v>133</v>
      </c>
      <c r="E28" s="160"/>
      <c r="F28" s="87" t="s">
        <v>63</v>
      </c>
      <c r="G28" s="88" t="s">
        <v>65</v>
      </c>
      <c r="H28" s="89" t="s">
        <v>66</v>
      </c>
      <c r="I28" s="89" t="s">
        <v>67</v>
      </c>
      <c r="J28" s="89" t="s">
        <v>68</v>
      </c>
      <c r="K28" s="89" t="s">
        <v>69</v>
      </c>
      <c r="L28" s="89" t="s">
        <v>70</v>
      </c>
      <c r="M28" s="89" t="s">
        <v>71</v>
      </c>
      <c r="N28" s="89" t="s">
        <v>72</v>
      </c>
      <c r="O28" s="89" t="s">
        <v>73</v>
      </c>
      <c r="P28" s="89" t="s">
        <v>74</v>
      </c>
      <c r="Q28" s="87" t="s">
        <v>75</v>
      </c>
      <c r="R28" s="86" t="s">
        <v>76</v>
      </c>
      <c r="S28" s="90"/>
    </row>
    <row r="29" spans="2:19" ht="15.75" thickBot="1" x14ac:dyDescent="0.3">
      <c r="B29" s="91"/>
      <c r="C29" s="92" t="s">
        <v>59</v>
      </c>
      <c r="D29" s="93" t="s">
        <v>61</v>
      </c>
      <c r="E29" s="94" t="s">
        <v>62</v>
      </c>
      <c r="F29" s="95" t="s">
        <v>64</v>
      </c>
      <c r="G29" s="93">
        <v>0</v>
      </c>
      <c r="H29" s="96">
        <v>0.1</v>
      </c>
      <c r="I29" s="96">
        <v>0.2</v>
      </c>
      <c r="J29" s="96">
        <v>0.3</v>
      </c>
      <c r="K29" s="96">
        <v>0.4</v>
      </c>
      <c r="L29" s="96">
        <v>0.5</v>
      </c>
      <c r="M29" s="96">
        <v>0.6</v>
      </c>
      <c r="N29" s="96">
        <v>0.7</v>
      </c>
      <c r="O29" s="96">
        <v>0.8</v>
      </c>
      <c r="P29" s="96">
        <v>0.9</v>
      </c>
      <c r="Q29" s="97">
        <v>1</v>
      </c>
      <c r="R29" s="93" t="s">
        <v>61</v>
      </c>
      <c r="S29" s="98" t="s">
        <v>62</v>
      </c>
    </row>
    <row r="30" spans="2:19" x14ac:dyDescent="0.25">
      <c r="B30" s="86" t="s">
        <v>46</v>
      </c>
      <c r="C30" s="99">
        <f>1*(D-T)/T+1</f>
        <v>2.5454545454545454</v>
      </c>
      <c r="D30" s="100">
        <v>-0.04</v>
      </c>
      <c r="E30" s="130">
        <v>0.95</v>
      </c>
      <c r="F30" s="101"/>
      <c r="G30" s="102">
        <v>0.99</v>
      </c>
      <c r="H30" s="103">
        <v>1</v>
      </c>
      <c r="I30" s="103">
        <v>1</v>
      </c>
      <c r="J30" s="103">
        <v>1</v>
      </c>
      <c r="K30" s="103">
        <v>1</v>
      </c>
      <c r="L30" s="103">
        <v>1</v>
      </c>
      <c r="M30" s="103">
        <v>1</v>
      </c>
      <c r="N30" s="103">
        <v>1</v>
      </c>
      <c r="O30" s="103">
        <v>1</v>
      </c>
      <c r="P30" s="103">
        <v>0.89</v>
      </c>
      <c r="Q30" s="104">
        <v>0.5</v>
      </c>
      <c r="R30" s="105">
        <v>1.03</v>
      </c>
      <c r="S30" s="106">
        <v>0.2</v>
      </c>
    </row>
    <row r="31" spans="2:19" x14ac:dyDescent="0.25">
      <c r="B31" s="86" t="s">
        <v>47</v>
      </c>
      <c r="C31" s="99">
        <f>0.75*(D-T)/T+1</f>
        <v>2.1590909090909092</v>
      </c>
      <c r="D31" s="100">
        <v>-3.7999999999999999E-2</v>
      </c>
      <c r="E31" s="130">
        <v>0.94</v>
      </c>
      <c r="F31" s="101"/>
      <c r="G31" s="102">
        <v>0.98699999999999999</v>
      </c>
      <c r="H31" s="103">
        <v>1</v>
      </c>
      <c r="I31" s="103">
        <v>1</v>
      </c>
      <c r="J31" s="103">
        <v>1</v>
      </c>
      <c r="K31" s="103">
        <v>1</v>
      </c>
      <c r="L31" s="103">
        <v>1</v>
      </c>
      <c r="M31" s="103">
        <v>1</v>
      </c>
      <c r="N31" s="103">
        <v>1</v>
      </c>
      <c r="O31" s="103">
        <v>0.99</v>
      </c>
      <c r="P31" s="103">
        <v>0.82</v>
      </c>
      <c r="Q31" s="104">
        <v>0.35</v>
      </c>
      <c r="R31" s="105">
        <v>1.022</v>
      </c>
      <c r="S31" s="106">
        <v>0.12</v>
      </c>
    </row>
    <row r="32" spans="2:19" x14ac:dyDescent="0.25">
      <c r="B32" s="86" t="s">
        <v>48</v>
      </c>
      <c r="C32" s="99">
        <f>0.5*(D-T)/T+1</f>
        <v>1.7727272727272727</v>
      </c>
      <c r="D32" s="100">
        <v>-3.5000000000000003E-2</v>
      </c>
      <c r="E32" s="130">
        <v>0.91</v>
      </c>
      <c r="F32" s="101"/>
      <c r="G32" s="102">
        <v>0.96</v>
      </c>
      <c r="H32" s="103">
        <v>1</v>
      </c>
      <c r="I32" s="103">
        <v>1</v>
      </c>
      <c r="J32" s="103">
        <v>1</v>
      </c>
      <c r="K32" s="103">
        <v>1</v>
      </c>
      <c r="L32" s="103">
        <v>1</v>
      </c>
      <c r="M32" s="103">
        <v>1</v>
      </c>
      <c r="N32" s="103">
        <v>1</v>
      </c>
      <c r="O32" s="103">
        <v>0.96</v>
      </c>
      <c r="P32" s="103">
        <v>0.74</v>
      </c>
      <c r="Q32" s="104">
        <v>0.2</v>
      </c>
      <c r="R32" s="105">
        <v>1.0129999999999999</v>
      </c>
      <c r="S32" s="106">
        <v>0.06</v>
      </c>
    </row>
    <row r="33" spans="2:19" x14ac:dyDescent="0.25">
      <c r="B33" s="86" t="s">
        <v>49</v>
      </c>
      <c r="C33" s="99">
        <f>0.25*(D-T)/T+1</f>
        <v>1.3863636363636362</v>
      </c>
      <c r="D33" s="100">
        <v>-0.03</v>
      </c>
      <c r="E33" s="130">
        <v>0.75</v>
      </c>
      <c r="F33" s="101"/>
      <c r="G33" s="102">
        <v>0.84</v>
      </c>
      <c r="H33" s="103">
        <v>0.97</v>
      </c>
      <c r="I33" s="103">
        <v>1</v>
      </c>
      <c r="J33" s="103">
        <v>1</v>
      </c>
      <c r="K33" s="103">
        <v>1</v>
      </c>
      <c r="L33" s="103">
        <v>1</v>
      </c>
      <c r="M33" s="103">
        <v>1</v>
      </c>
      <c r="N33" s="103">
        <v>1</v>
      </c>
      <c r="O33" s="103">
        <v>0.9</v>
      </c>
      <c r="P33" s="103">
        <v>0.63</v>
      </c>
      <c r="Q33" s="104">
        <v>0.08</v>
      </c>
      <c r="R33" s="105">
        <v>1.006</v>
      </c>
      <c r="S33" s="106">
        <v>0.02</v>
      </c>
    </row>
    <row r="34" spans="2:19" x14ac:dyDescent="0.25">
      <c r="B34" s="107" t="s">
        <v>50</v>
      </c>
      <c r="C34" s="108">
        <v>1</v>
      </c>
      <c r="D34" s="109">
        <v>-2.5000000000000001E-2</v>
      </c>
      <c r="E34" s="131">
        <v>0</v>
      </c>
      <c r="F34" s="110">
        <v>-2.5000000000000001E-2</v>
      </c>
      <c r="G34" s="111">
        <v>0.4</v>
      </c>
      <c r="H34" s="112">
        <v>0.87</v>
      </c>
      <c r="I34" s="112">
        <v>0.98499999999999999</v>
      </c>
      <c r="J34" s="112">
        <v>1</v>
      </c>
      <c r="K34" s="112">
        <v>1</v>
      </c>
      <c r="L34" s="112">
        <v>1</v>
      </c>
      <c r="M34" s="112">
        <v>1</v>
      </c>
      <c r="N34" s="112">
        <v>0.98</v>
      </c>
      <c r="O34" s="112">
        <v>0.82</v>
      </c>
      <c r="P34" s="112">
        <v>0.49</v>
      </c>
      <c r="Q34" s="113">
        <v>0</v>
      </c>
      <c r="R34" s="109">
        <v>1</v>
      </c>
      <c r="S34" s="114">
        <v>0</v>
      </c>
    </row>
    <row r="35" spans="2:19" x14ac:dyDescent="0.25">
      <c r="B35" s="86" t="s">
        <v>51</v>
      </c>
      <c r="C35" s="99">
        <v>0.8</v>
      </c>
      <c r="D35" s="105">
        <v>3.2000000000000001E-2</v>
      </c>
      <c r="E35" s="130">
        <v>0</v>
      </c>
      <c r="F35" s="115">
        <v>0.04</v>
      </c>
      <c r="G35" s="102">
        <v>-0.4</v>
      </c>
      <c r="H35" s="103">
        <v>0.65</v>
      </c>
      <c r="I35" s="103">
        <v>0.93</v>
      </c>
      <c r="J35" s="103">
        <v>0.997</v>
      </c>
      <c r="K35" s="103">
        <v>1</v>
      </c>
      <c r="L35" s="103">
        <v>1</v>
      </c>
      <c r="M35" s="103">
        <v>1</v>
      </c>
      <c r="N35" s="103">
        <v>0.95</v>
      </c>
      <c r="O35" s="103">
        <v>0.76</v>
      </c>
      <c r="P35" s="103">
        <v>0.41</v>
      </c>
      <c r="Q35" s="104">
        <v>0.01</v>
      </c>
      <c r="R35" s="105">
        <v>1</v>
      </c>
      <c r="S35" s="106">
        <v>0</v>
      </c>
    </row>
    <row r="36" spans="2:19" x14ac:dyDescent="0.25">
      <c r="B36" s="86" t="s">
        <v>52</v>
      </c>
      <c r="C36" s="99">
        <v>0.6</v>
      </c>
      <c r="D36" s="105">
        <v>3.7999999999999999E-2</v>
      </c>
      <c r="E36" s="130">
        <v>0</v>
      </c>
      <c r="F36" s="115">
        <v>0.09</v>
      </c>
      <c r="G36" s="102">
        <v>-1</v>
      </c>
      <c r="H36" s="103">
        <v>0.2</v>
      </c>
      <c r="I36" s="103">
        <v>0.8</v>
      </c>
      <c r="J36" s="103">
        <v>0.98</v>
      </c>
      <c r="K36" s="103">
        <v>1</v>
      </c>
      <c r="L36" s="103">
        <v>1</v>
      </c>
      <c r="M36" s="103">
        <v>0.99</v>
      </c>
      <c r="N36" s="103">
        <v>0.9</v>
      </c>
      <c r="O36" s="103">
        <v>0.67</v>
      </c>
      <c r="P36" s="103">
        <v>0.33</v>
      </c>
      <c r="Q36" s="104">
        <v>0.06</v>
      </c>
      <c r="R36" s="105">
        <v>1.008</v>
      </c>
      <c r="S36" s="106">
        <v>0.04</v>
      </c>
    </row>
    <row r="37" spans="2:19" x14ac:dyDescent="0.25">
      <c r="B37" s="86" t="s">
        <v>53</v>
      </c>
      <c r="C37" s="99">
        <v>0.4</v>
      </c>
      <c r="D37" s="105">
        <v>0.04</v>
      </c>
      <c r="E37" s="130">
        <v>0</v>
      </c>
      <c r="F37" s="115">
        <v>0.12</v>
      </c>
      <c r="G37" s="102">
        <v>-2</v>
      </c>
      <c r="H37" s="103">
        <v>-0.2</v>
      </c>
      <c r="I37" s="103">
        <v>0.57999999999999996</v>
      </c>
      <c r="J37" s="103">
        <v>0.93</v>
      </c>
      <c r="K37" s="103">
        <v>0.995</v>
      </c>
      <c r="L37" s="103">
        <v>0.995</v>
      </c>
      <c r="M37" s="103">
        <v>0.96</v>
      </c>
      <c r="N37" s="103">
        <v>0.82</v>
      </c>
      <c r="O37" s="103">
        <v>0.56000000000000005</v>
      </c>
      <c r="P37" s="103">
        <v>0.24</v>
      </c>
      <c r="Q37" s="104">
        <v>7.0000000000000007E-2</v>
      </c>
      <c r="R37" s="105">
        <v>1.0149999999999999</v>
      </c>
      <c r="S37" s="106">
        <v>0.05</v>
      </c>
    </row>
    <row r="38" spans="2:19" x14ac:dyDescent="0.25">
      <c r="B38" s="86" t="s">
        <v>54</v>
      </c>
      <c r="C38" s="99">
        <v>0.2</v>
      </c>
      <c r="D38" s="105">
        <v>0.04</v>
      </c>
      <c r="E38" s="130">
        <v>0</v>
      </c>
      <c r="F38" s="115">
        <v>0.15</v>
      </c>
      <c r="G38" s="102">
        <v>-2</v>
      </c>
      <c r="H38" s="103">
        <v>-0.5</v>
      </c>
      <c r="I38" s="103">
        <v>0.33</v>
      </c>
      <c r="J38" s="103">
        <v>0.8</v>
      </c>
      <c r="K38" s="103">
        <v>0.97</v>
      </c>
      <c r="L38" s="103">
        <v>0.97</v>
      </c>
      <c r="M38" s="103">
        <v>0.88</v>
      </c>
      <c r="N38" s="103">
        <v>0.69</v>
      </c>
      <c r="O38" s="103">
        <v>0.4</v>
      </c>
      <c r="P38" s="103">
        <v>0.14000000000000001</v>
      </c>
      <c r="Q38" s="104">
        <v>0.06</v>
      </c>
      <c r="R38" s="105">
        <v>1.0149999999999999</v>
      </c>
      <c r="S38" s="106">
        <v>0.04</v>
      </c>
    </row>
    <row r="39" spans="2:19" x14ac:dyDescent="0.25">
      <c r="B39" s="86" t="s">
        <v>55</v>
      </c>
      <c r="C39" s="99">
        <v>0.1</v>
      </c>
      <c r="D39" s="105">
        <v>0.04</v>
      </c>
      <c r="E39" s="130">
        <v>0</v>
      </c>
      <c r="F39" s="115">
        <v>0.17</v>
      </c>
      <c r="G39" s="102">
        <v>-2</v>
      </c>
      <c r="H39" s="103">
        <v>-0.7</v>
      </c>
      <c r="I39" s="103">
        <v>0.13</v>
      </c>
      <c r="J39" s="103">
        <v>0.67</v>
      </c>
      <c r="K39" s="103">
        <v>0.93</v>
      </c>
      <c r="L39" s="103">
        <v>0.93</v>
      </c>
      <c r="M39" s="103">
        <v>0.8</v>
      </c>
      <c r="N39" s="103">
        <v>0.55000000000000004</v>
      </c>
      <c r="O39" s="103">
        <v>0.28000000000000003</v>
      </c>
      <c r="P39" s="103">
        <v>0.08</v>
      </c>
      <c r="Q39" s="104">
        <v>0.04</v>
      </c>
      <c r="R39" s="105">
        <v>1.0129999999999999</v>
      </c>
      <c r="S39" s="106">
        <v>0.03</v>
      </c>
    </row>
    <row r="40" spans="2:19" x14ac:dyDescent="0.25">
      <c r="B40" s="86" t="s">
        <v>56</v>
      </c>
      <c r="C40" s="99">
        <v>0.01</v>
      </c>
      <c r="D40" s="105">
        <v>0.04</v>
      </c>
      <c r="E40" s="130">
        <v>0</v>
      </c>
      <c r="F40" s="115">
        <v>0.2</v>
      </c>
      <c r="G40" s="102">
        <v>-2</v>
      </c>
      <c r="H40" s="103">
        <v>-1</v>
      </c>
      <c r="I40" s="103">
        <v>-0.15</v>
      </c>
      <c r="J40" s="103">
        <v>0.47</v>
      </c>
      <c r="K40" s="103">
        <v>0.84</v>
      </c>
      <c r="L40" s="103">
        <v>0.84</v>
      </c>
      <c r="M40" s="103">
        <v>0.65</v>
      </c>
      <c r="N40" s="103">
        <v>0.36</v>
      </c>
      <c r="O40" s="103">
        <v>0.14000000000000001</v>
      </c>
      <c r="P40" s="103">
        <v>1.4999999999999999E-2</v>
      </c>
      <c r="Q40" s="103">
        <v>0.01</v>
      </c>
      <c r="R40" s="105">
        <v>1</v>
      </c>
      <c r="S40" s="106">
        <v>1E-3</v>
      </c>
    </row>
    <row r="41" spans="2:19" ht="15.75" thickBot="1" x14ac:dyDescent="0.3">
      <c r="B41" s="86" t="s">
        <v>57</v>
      </c>
      <c r="C41" s="99">
        <v>0</v>
      </c>
      <c r="D41" s="105">
        <v>0.04</v>
      </c>
      <c r="E41" s="130">
        <v>0</v>
      </c>
      <c r="F41" s="115">
        <v>0.22</v>
      </c>
      <c r="G41" s="102">
        <v>-2</v>
      </c>
      <c r="H41" s="103">
        <v>-1</v>
      </c>
      <c r="I41" s="103">
        <v>-0.2</v>
      </c>
      <c r="J41" s="103">
        <v>0.45</v>
      </c>
      <c r="K41" s="103">
        <v>0.8</v>
      </c>
      <c r="L41" s="103">
        <v>0.8</v>
      </c>
      <c r="M41" s="103">
        <v>0.63</v>
      </c>
      <c r="N41" s="103">
        <v>0.35</v>
      </c>
      <c r="O41" s="103">
        <v>0.13</v>
      </c>
      <c r="P41" s="103">
        <v>0.01</v>
      </c>
      <c r="Q41" s="103">
        <v>0</v>
      </c>
      <c r="R41" s="105">
        <v>0.98</v>
      </c>
      <c r="S41" s="106">
        <v>0</v>
      </c>
    </row>
    <row r="42" spans="2:19" ht="15.75" thickBot="1" x14ac:dyDescent="0.3">
      <c r="B42" s="86" t="s">
        <v>58</v>
      </c>
      <c r="C42" s="134">
        <v>0</v>
      </c>
      <c r="D42" s="29"/>
      <c r="E42" s="18"/>
      <c r="F42" s="19"/>
      <c r="G42" s="29"/>
      <c r="H42" s="18"/>
      <c r="I42" s="18"/>
      <c r="J42" s="18"/>
      <c r="K42" s="18"/>
      <c r="L42" s="135">
        <v>0</v>
      </c>
      <c r="M42" s="18"/>
      <c r="N42" s="18"/>
      <c r="O42" s="18"/>
      <c r="P42" s="18"/>
      <c r="Q42" s="19"/>
      <c r="R42" s="29"/>
      <c r="S42" s="136">
        <v>0</v>
      </c>
    </row>
    <row r="43" spans="2:19" ht="15.75" thickBot="1" x14ac:dyDescent="0.3">
      <c r="B43" s="132"/>
      <c r="C43" s="119"/>
      <c r="D43" s="24"/>
      <c r="E43" s="25"/>
      <c r="F43" s="59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59"/>
      <c r="R43" s="24"/>
      <c r="S43" s="26"/>
    </row>
  </sheetData>
  <mergeCells count="3">
    <mergeCell ref="G5:L5"/>
    <mergeCell ref="H26:L26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DE3D-C01C-4E78-84E6-11D0D34A15F1}">
  <dimension ref="D1:X52"/>
  <sheetViews>
    <sheetView zoomScale="70" zoomScaleNormal="70" workbookViewId="0">
      <selection activeCell="T66" sqref="T66"/>
    </sheetView>
  </sheetViews>
  <sheetFormatPr defaultRowHeight="15" x14ac:dyDescent="0.25"/>
  <cols>
    <col min="21" max="21" width="6.5703125" customWidth="1"/>
    <col min="22" max="22" width="13.85546875" customWidth="1"/>
    <col min="24" max="24" width="11.140625" customWidth="1"/>
  </cols>
  <sheetData>
    <row r="1" spans="22:24" ht="15.75" thickBot="1" x14ac:dyDescent="0.3"/>
    <row r="2" spans="22:24" x14ac:dyDescent="0.25">
      <c r="V2" s="161" t="s">
        <v>78</v>
      </c>
      <c r="W2" s="162"/>
      <c r="X2" s="163"/>
    </row>
    <row r="3" spans="22:24" ht="15.75" thickBot="1" x14ac:dyDescent="0.3">
      <c r="V3" s="24"/>
      <c r="W3" s="145" t="s">
        <v>129</v>
      </c>
      <c r="X3" s="146" t="s">
        <v>130</v>
      </c>
    </row>
    <row r="4" spans="22:24" x14ac:dyDescent="0.25">
      <c r="V4" s="21" t="s">
        <v>46</v>
      </c>
      <c r="W4" s="15">
        <v>-1.1000000000000001</v>
      </c>
      <c r="X4" s="144">
        <f>'Offset Tables'!C30</f>
        <v>2.5454545454545454</v>
      </c>
    </row>
    <row r="5" spans="22:24" x14ac:dyDescent="0.25">
      <c r="V5" s="23"/>
      <c r="W5" s="3">
        <v>1.1000000000000001</v>
      </c>
      <c r="X5" s="33">
        <f>'Offset Tables'!C30</f>
        <v>2.5454545454545454</v>
      </c>
    </row>
    <row r="6" spans="22:24" x14ac:dyDescent="0.25">
      <c r="V6" s="23" t="s">
        <v>47</v>
      </c>
      <c r="W6" s="3">
        <v>-1.1000000000000001</v>
      </c>
      <c r="X6" s="33">
        <f>'Offset Tables'!C31</f>
        <v>2.1590909090909092</v>
      </c>
    </row>
    <row r="7" spans="22:24" x14ac:dyDescent="0.25">
      <c r="V7" s="23"/>
      <c r="W7" s="3">
        <v>1.1000000000000001</v>
      </c>
      <c r="X7" s="33">
        <f>'Offset Tables'!C31</f>
        <v>2.1590909090909092</v>
      </c>
    </row>
    <row r="8" spans="22:24" x14ac:dyDescent="0.25">
      <c r="V8" s="23" t="s">
        <v>48</v>
      </c>
      <c r="W8" s="3">
        <v>-1.1000000000000001</v>
      </c>
      <c r="X8" s="33">
        <f>'Offset Tables'!C32</f>
        <v>1.7727272727272727</v>
      </c>
    </row>
    <row r="9" spans="22:24" x14ac:dyDescent="0.25">
      <c r="V9" s="23"/>
      <c r="W9" s="3">
        <v>1.1000000000000001</v>
      </c>
      <c r="X9" s="33">
        <f>'Offset Tables'!C32</f>
        <v>1.7727272727272727</v>
      </c>
    </row>
    <row r="10" spans="22:24" x14ac:dyDescent="0.25">
      <c r="V10" s="23" t="s">
        <v>49</v>
      </c>
      <c r="W10" s="3">
        <v>-1.1000000000000001</v>
      </c>
      <c r="X10" s="33">
        <f>'Offset Tables'!C33</f>
        <v>1.3863636363636362</v>
      </c>
    </row>
    <row r="11" spans="22:24" x14ac:dyDescent="0.25">
      <c r="V11" s="23"/>
      <c r="W11" s="3">
        <v>1.1000000000000001</v>
      </c>
      <c r="X11" s="33">
        <f>'Offset Tables'!C33</f>
        <v>1.3863636363636362</v>
      </c>
    </row>
    <row r="12" spans="22:24" x14ac:dyDescent="0.25">
      <c r="V12" s="23" t="s">
        <v>77</v>
      </c>
      <c r="W12" s="3">
        <v>-1.1000000000000001</v>
      </c>
      <c r="X12" s="33">
        <f>'Offset Tables'!C34</f>
        <v>1</v>
      </c>
    </row>
    <row r="13" spans="22:24" x14ac:dyDescent="0.25">
      <c r="V13" s="23"/>
      <c r="W13" s="3">
        <v>1.1000000000000001</v>
      </c>
      <c r="X13" s="33">
        <f>'Offset Tables'!C34</f>
        <v>1</v>
      </c>
    </row>
    <row r="14" spans="22:24" x14ac:dyDescent="0.25">
      <c r="V14" s="23" t="s">
        <v>51</v>
      </c>
      <c r="W14" s="3">
        <v>-1.1000000000000001</v>
      </c>
      <c r="X14" s="33">
        <f>'Offset Tables'!C35</f>
        <v>0.8</v>
      </c>
    </row>
    <row r="15" spans="22:24" x14ac:dyDescent="0.25">
      <c r="V15" s="23"/>
      <c r="W15" s="3">
        <v>1.1000000000000001</v>
      </c>
      <c r="X15" s="33">
        <f>'Offset Tables'!C35</f>
        <v>0.8</v>
      </c>
    </row>
    <row r="16" spans="22:24" x14ac:dyDescent="0.25">
      <c r="V16" s="23" t="s">
        <v>52</v>
      </c>
      <c r="W16" s="3">
        <v>-1.1000000000000001</v>
      </c>
      <c r="X16" s="33">
        <f>'Offset Tables'!C36</f>
        <v>0.6</v>
      </c>
    </row>
    <row r="17" spans="22:24" x14ac:dyDescent="0.25">
      <c r="V17" s="23"/>
      <c r="W17" s="3">
        <v>1.1000000000000001</v>
      </c>
      <c r="X17" s="33">
        <f>'Offset Tables'!C36</f>
        <v>0.6</v>
      </c>
    </row>
    <row r="18" spans="22:24" x14ac:dyDescent="0.25">
      <c r="V18" s="23" t="s">
        <v>53</v>
      </c>
      <c r="W18" s="3">
        <v>-1.1000000000000001</v>
      </c>
      <c r="X18" s="33">
        <f>'Offset Tables'!C37</f>
        <v>0.4</v>
      </c>
    </row>
    <row r="19" spans="22:24" x14ac:dyDescent="0.25">
      <c r="V19" s="23"/>
      <c r="W19" s="3">
        <v>1.1000000000000001</v>
      </c>
      <c r="X19" s="33">
        <f>'Offset Tables'!C37</f>
        <v>0.4</v>
      </c>
    </row>
    <row r="20" spans="22:24" x14ac:dyDescent="0.25">
      <c r="V20" s="23" t="s">
        <v>54</v>
      </c>
      <c r="W20" s="3">
        <v>-1.1000000000000001</v>
      </c>
      <c r="X20" s="33">
        <f>'Offset Tables'!C38</f>
        <v>0.2</v>
      </c>
    </row>
    <row r="21" spans="22:24" ht="15.75" thickBot="1" x14ac:dyDescent="0.3">
      <c r="V21" s="24"/>
      <c r="W21" s="25">
        <v>1.1000000000000001</v>
      </c>
      <c r="X21" s="34">
        <f>'Offset Tables'!C38</f>
        <v>0.2</v>
      </c>
    </row>
    <row r="52" spans="4:10" ht="20.25" x14ac:dyDescent="0.3">
      <c r="D52" s="164" t="s">
        <v>132</v>
      </c>
      <c r="E52" s="164"/>
      <c r="F52" s="164"/>
      <c r="G52" s="164"/>
      <c r="H52" s="164"/>
      <c r="I52" s="164"/>
      <c r="J52" s="164"/>
    </row>
  </sheetData>
  <mergeCells count="2">
    <mergeCell ref="V2:X2"/>
    <mergeCell ref="D52:J5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EF38-F5B4-49EC-A0FD-0CB7B60EFD41}">
  <dimension ref="C1:AX45"/>
  <sheetViews>
    <sheetView topLeftCell="AB1" zoomScale="110" zoomScaleNormal="110" workbookViewId="0">
      <selection activeCell="AJ3" sqref="AJ3"/>
    </sheetView>
  </sheetViews>
  <sheetFormatPr defaultRowHeight="15" x14ac:dyDescent="0.25"/>
  <cols>
    <col min="22" max="22" width="10.5703125" customWidth="1"/>
  </cols>
  <sheetData>
    <row r="1" spans="22:41" x14ac:dyDescent="0.25">
      <c r="V1" s="169" t="s">
        <v>79</v>
      </c>
      <c r="W1" s="162"/>
      <c r="X1" s="162"/>
      <c r="Y1" s="156"/>
      <c r="Z1" s="161" t="s">
        <v>80</v>
      </c>
      <c r="AA1" s="165"/>
      <c r="AB1" s="165"/>
      <c r="AC1" s="166"/>
      <c r="AD1" s="161" t="s">
        <v>81</v>
      </c>
      <c r="AE1" s="165"/>
      <c r="AF1" s="165"/>
      <c r="AG1" s="165" t="s">
        <v>82</v>
      </c>
      <c r="AH1" s="166"/>
      <c r="AI1" s="167" t="s">
        <v>83</v>
      </c>
      <c r="AJ1" s="168"/>
      <c r="AK1" s="74" t="s">
        <v>84</v>
      </c>
      <c r="AL1" s="75"/>
      <c r="AM1" s="75"/>
      <c r="AN1" s="75"/>
      <c r="AO1" s="20"/>
    </row>
    <row r="2" spans="22:41" x14ac:dyDescent="0.25">
      <c r="V2" s="23"/>
      <c r="W2" s="3" t="s">
        <v>61</v>
      </c>
      <c r="X2" s="3" t="s">
        <v>62</v>
      </c>
      <c r="Y2" s="16" t="s">
        <v>59</v>
      </c>
      <c r="Z2" s="23"/>
      <c r="AA2" s="3" t="s">
        <v>61</v>
      </c>
      <c r="AB2" s="3" t="s">
        <v>62</v>
      </c>
      <c r="AC2" s="16" t="s">
        <v>59</v>
      </c>
      <c r="AD2" s="23"/>
      <c r="AE2" s="3" t="s">
        <v>61</v>
      </c>
      <c r="AF2" s="3" t="s">
        <v>62</v>
      </c>
      <c r="AG2" s="3" t="s">
        <v>61</v>
      </c>
      <c r="AH2" s="16" t="s">
        <v>62</v>
      </c>
      <c r="AI2" s="23"/>
      <c r="AJ2" s="16"/>
      <c r="AK2" s="23"/>
      <c r="AL2" s="3" t="s">
        <v>61</v>
      </c>
      <c r="AM2" s="3" t="s">
        <v>85</v>
      </c>
      <c r="AN2" s="3" t="s">
        <v>86</v>
      </c>
      <c r="AO2" s="22" t="s">
        <v>87</v>
      </c>
    </row>
    <row r="3" spans="22:41" x14ac:dyDescent="0.25">
      <c r="V3" s="23" t="s">
        <v>46</v>
      </c>
      <c r="W3" s="3">
        <f>AJ$3-2</f>
        <v>-8</v>
      </c>
      <c r="X3" s="3">
        <f>-1.05*B/2</f>
        <v>-13.125</v>
      </c>
      <c r="Y3" s="16">
        <f>W30</f>
        <v>14</v>
      </c>
      <c r="Z3" s="23" t="s">
        <v>65</v>
      </c>
      <c r="AA3" s="3">
        <v>0</v>
      </c>
      <c r="AB3" s="3">
        <v>0</v>
      </c>
      <c r="AC3" s="16">
        <v>0</v>
      </c>
      <c r="AD3" s="23" t="s">
        <v>46</v>
      </c>
      <c r="AE3" s="3">
        <f>X30</f>
        <v>-6</v>
      </c>
      <c r="AF3" s="3">
        <v>0</v>
      </c>
      <c r="AG3" s="3">
        <f>AL30</f>
        <v>154.5</v>
      </c>
      <c r="AH3" s="16">
        <v>0</v>
      </c>
      <c r="AI3" s="23" t="s">
        <v>88</v>
      </c>
      <c r="AJ3" s="16">
        <f>MIN(X30,X31,X32,X33,X34)</f>
        <v>-6</v>
      </c>
      <c r="AK3" s="23" t="s">
        <v>50</v>
      </c>
      <c r="AL3" s="3">
        <f t="shared" ref="AL3:AL9" si="0">IF(AA34&gt;0,0,(Z34-X34))</f>
        <v>0</v>
      </c>
      <c r="AM3" s="3"/>
      <c r="AN3" s="3"/>
      <c r="AO3" s="22"/>
    </row>
    <row r="4" spans="22:41" ht="15.75" thickBot="1" x14ac:dyDescent="0.3">
      <c r="V4" s="23"/>
      <c r="W4" s="3">
        <f>AJ$4+2</f>
        <v>156.5</v>
      </c>
      <c r="X4" s="3">
        <f>1.05*B/2</f>
        <v>13.125</v>
      </c>
      <c r="Y4" s="16">
        <f>W30</f>
        <v>14</v>
      </c>
      <c r="Z4" s="23"/>
      <c r="AA4" s="3">
        <v>0</v>
      </c>
      <c r="AB4" s="3">
        <f>0.55*B</f>
        <v>13.750000000000002</v>
      </c>
      <c r="AC4" s="16">
        <f>1.1*D</f>
        <v>15.400000000000002</v>
      </c>
      <c r="AD4" s="23"/>
      <c r="AE4" s="3">
        <f>X30</f>
        <v>-6</v>
      </c>
      <c r="AF4" s="3">
        <f>Y30</f>
        <v>11.875</v>
      </c>
      <c r="AG4" s="3">
        <f>AL30</f>
        <v>154.5</v>
      </c>
      <c r="AH4" s="16">
        <f>AM30</f>
        <v>2.5</v>
      </c>
      <c r="AI4" s="24" t="s">
        <v>89</v>
      </c>
      <c r="AJ4" s="59">
        <f>MAX(AL30,AL31,AL32,AL33,AL34,AL35,AL36,AL37,AL38,AL39,AL40)</f>
        <v>154.5</v>
      </c>
      <c r="AK4" s="23" t="s">
        <v>51</v>
      </c>
      <c r="AL4" s="3">
        <f t="shared" si="0"/>
        <v>1.2000000000000002</v>
      </c>
      <c r="AM4" s="3"/>
      <c r="AN4" s="3"/>
      <c r="AO4" s="22"/>
    </row>
    <row r="5" spans="22:41" x14ac:dyDescent="0.25">
      <c r="V5" s="23" t="s">
        <v>47</v>
      </c>
      <c r="W5" s="3">
        <f>AJ$3-2</f>
        <v>-8</v>
      </c>
      <c r="X5" s="3">
        <f>-1.05*B/2</f>
        <v>-13.125</v>
      </c>
      <c r="Y5" s="16">
        <f>W31</f>
        <v>11.875</v>
      </c>
      <c r="Z5" s="23" t="s">
        <v>66</v>
      </c>
      <c r="AA5" s="3">
        <f>0.1*Lpp</f>
        <v>15</v>
      </c>
      <c r="AB5" s="3">
        <v>0</v>
      </c>
      <c r="AC5" s="16">
        <v>0</v>
      </c>
      <c r="AD5" s="23" t="s">
        <v>47</v>
      </c>
      <c r="AE5" s="3">
        <f>X31</f>
        <v>-5.7</v>
      </c>
      <c r="AF5" s="3">
        <v>0</v>
      </c>
      <c r="AG5" s="3">
        <f>AL31</f>
        <v>153.30000000000001</v>
      </c>
      <c r="AH5" s="22">
        <v>0</v>
      </c>
      <c r="AK5" s="23" t="s">
        <v>52</v>
      </c>
      <c r="AL5" s="3">
        <f t="shared" si="0"/>
        <v>7.8</v>
      </c>
      <c r="AM5" s="3"/>
      <c r="AN5" s="3"/>
      <c r="AO5" s="22"/>
    </row>
    <row r="6" spans="22:41" x14ac:dyDescent="0.25">
      <c r="V6" s="23"/>
      <c r="W6" s="3">
        <f>AJ$4+2</f>
        <v>156.5</v>
      </c>
      <c r="X6" s="3">
        <f>1.05*B/2</f>
        <v>13.125</v>
      </c>
      <c r="Y6" s="16">
        <f>W31</f>
        <v>11.875</v>
      </c>
      <c r="Z6" s="23"/>
      <c r="AA6" s="3">
        <f>0.1*Lpp</f>
        <v>15</v>
      </c>
      <c r="AB6" s="3">
        <f>0.55*B</f>
        <v>13.750000000000002</v>
      </c>
      <c r="AC6" s="16">
        <f>1.1*D</f>
        <v>15.400000000000002</v>
      </c>
      <c r="AD6" s="23"/>
      <c r="AE6" s="3">
        <f>X31</f>
        <v>-5.7</v>
      </c>
      <c r="AF6" s="3">
        <f>Y31</f>
        <v>11.75</v>
      </c>
      <c r="AG6" s="3">
        <f>AL31</f>
        <v>153.30000000000001</v>
      </c>
      <c r="AH6" s="22">
        <f>AM31</f>
        <v>1.5</v>
      </c>
      <c r="AK6" s="23" t="s">
        <v>53</v>
      </c>
      <c r="AL6" s="3">
        <f t="shared" si="0"/>
        <v>12</v>
      </c>
      <c r="AM6" s="3">
        <f>T/15*(0.5*AL9+2*AL8+1.5*AL7+4*AL6+2*AL5+4*AL4+1*AL3)</f>
        <v>52.854999999999997</v>
      </c>
      <c r="AN6" s="3">
        <v>1.5</v>
      </c>
      <c r="AO6" s="22">
        <f>AM6*AN6</f>
        <v>79.282499999999999</v>
      </c>
    </row>
    <row r="7" spans="22:41" x14ac:dyDescent="0.25">
      <c r="V7" s="23" t="s">
        <v>48</v>
      </c>
      <c r="W7" s="3">
        <f>AJ$3-2</f>
        <v>-8</v>
      </c>
      <c r="X7" s="3">
        <f>-1.05*B/2</f>
        <v>-13.125</v>
      </c>
      <c r="Y7" s="16">
        <f>W32</f>
        <v>9.75</v>
      </c>
      <c r="Z7" s="23" t="s">
        <v>67</v>
      </c>
      <c r="AA7" s="3">
        <f>0.2*Lpp</f>
        <v>30</v>
      </c>
      <c r="AB7" s="3">
        <v>0</v>
      </c>
      <c r="AC7" s="16">
        <v>0</v>
      </c>
      <c r="AD7" s="23" t="s">
        <v>48</v>
      </c>
      <c r="AE7" s="3">
        <f>X32</f>
        <v>-5.2500000000000009</v>
      </c>
      <c r="AF7" s="3">
        <v>0</v>
      </c>
      <c r="AG7" s="3">
        <f>AL32</f>
        <v>151.94999999999999</v>
      </c>
      <c r="AH7" s="22">
        <v>0</v>
      </c>
      <c r="AK7" s="23" t="s">
        <v>54</v>
      </c>
      <c r="AL7" s="3">
        <f t="shared" si="0"/>
        <v>16.5</v>
      </c>
      <c r="AM7" s="3"/>
      <c r="AN7" s="3"/>
      <c r="AO7" s="22"/>
    </row>
    <row r="8" spans="22:41" x14ac:dyDescent="0.25">
      <c r="V8" s="23"/>
      <c r="W8" s="3">
        <f>AJ$4+2</f>
        <v>156.5</v>
      </c>
      <c r="X8" s="3">
        <f>1.05*B/2</f>
        <v>13.125</v>
      </c>
      <c r="Y8" s="16">
        <f>W32</f>
        <v>9.75</v>
      </c>
      <c r="Z8" s="23"/>
      <c r="AA8" s="3">
        <f>0.2*Lpp</f>
        <v>30</v>
      </c>
      <c r="AB8" s="3">
        <f>0.55*B</f>
        <v>13.750000000000002</v>
      </c>
      <c r="AC8" s="16">
        <f>1.1*D</f>
        <v>15.400000000000002</v>
      </c>
      <c r="AD8" s="23"/>
      <c r="AE8" s="3">
        <f>X32</f>
        <v>-5.2500000000000009</v>
      </c>
      <c r="AF8" s="3">
        <f>Y32</f>
        <v>11.375</v>
      </c>
      <c r="AG8" s="3">
        <f>AL32</f>
        <v>151.94999999999999</v>
      </c>
      <c r="AH8" s="22">
        <f>AM32</f>
        <v>0.75</v>
      </c>
      <c r="AK8" s="23" t="s">
        <v>55</v>
      </c>
      <c r="AL8" s="3">
        <f t="shared" si="0"/>
        <v>19.500000000000004</v>
      </c>
      <c r="AM8" s="3"/>
      <c r="AN8" s="3"/>
      <c r="AO8" s="22"/>
    </row>
    <row r="9" spans="22:41" ht="15.75" thickBot="1" x14ac:dyDescent="0.3">
      <c r="V9" s="23" t="s">
        <v>49</v>
      </c>
      <c r="W9" s="3">
        <f>AJ$3-2</f>
        <v>-8</v>
      </c>
      <c r="X9" s="3">
        <f>-1.05*B/2</f>
        <v>-13.125</v>
      </c>
      <c r="Y9" s="16">
        <f>W33</f>
        <v>7.625</v>
      </c>
      <c r="Z9" s="23" t="s">
        <v>68</v>
      </c>
      <c r="AA9" s="3">
        <f>0.3*Lpp</f>
        <v>45</v>
      </c>
      <c r="AB9" s="3">
        <v>0</v>
      </c>
      <c r="AC9" s="16">
        <v>0</v>
      </c>
      <c r="AD9" s="23" t="s">
        <v>49</v>
      </c>
      <c r="AE9" s="3">
        <f>X33</f>
        <v>-4.5</v>
      </c>
      <c r="AF9" s="3">
        <v>0</v>
      </c>
      <c r="AG9" s="3">
        <f>AL33</f>
        <v>150.9</v>
      </c>
      <c r="AH9" s="22">
        <v>0</v>
      </c>
      <c r="AK9" s="24" t="s">
        <v>57</v>
      </c>
      <c r="AL9" s="25">
        <f t="shared" si="0"/>
        <v>24</v>
      </c>
      <c r="AM9" s="25"/>
      <c r="AN9" s="25"/>
      <c r="AO9" s="26"/>
    </row>
    <row r="10" spans="22:41" x14ac:dyDescent="0.25">
      <c r="V10" s="23"/>
      <c r="W10" s="3">
        <f>AJ$4+2</f>
        <v>156.5</v>
      </c>
      <c r="X10" s="3">
        <f>1.05*B/2</f>
        <v>13.125</v>
      </c>
      <c r="Y10" s="16">
        <f>W33</f>
        <v>7.625</v>
      </c>
      <c r="Z10" s="23"/>
      <c r="AA10" s="3">
        <f>0.3*Lpp</f>
        <v>45</v>
      </c>
      <c r="AB10" s="3">
        <f>0.55*B</f>
        <v>13.750000000000002</v>
      </c>
      <c r="AC10" s="16">
        <f>1.1*D</f>
        <v>15.400000000000002</v>
      </c>
      <c r="AD10" s="23"/>
      <c r="AE10" s="3">
        <f>X33</f>
        <v>-4.5</v>
      </c>
      <c r="AF10" s="3">
        <f>Y33</f>
        <v>9.375</v>
      </c>
      <c r="AG10" s="3">
        <f>AL33</f>
        <v>150.9</v>
      </c>
      <c r="AH10" s="22">
        <f>AM33</f>
        <v>0.25</v>
      </c>
    </row>
    <row r="11" spans="22:41" x14ac:dyDescent="0.25">
      <c r="V11" s="23" t="s">
        <v>77</v>
      </c>
      <c r="W11" s="3">
        <f>AJ$3-2</f>
        <v>-8</v>
      </c>
      <c r="X11" s="3">
        <f>-1.05*B/2</f>
        <v>-13.125</v>
      </c>
      <c r="Y11" s="16">
        <f>W34</f>
        <v>5.5</v>
      </c>
      <c r="Z11" s="23" t="s">
        <v>69</v>
      </c>
      <c r="AA11" s="3">
        <f>0.4*Lpp</f>
        <v>60</v>
      </c>
      <c r="AB11" s="3">
        <v>0</v>
      </c>
      <c r="AC11" s="16">
        <v>0</v>
      </c>
      <c r="AD11" s="23" t="s">
        <v>77</v>
      </c>
      <c r="AE11" s="3">
        <f>X34</f>
        <v>-3.75</v>
      </c>
      <c r="AF11" s="3">
        <v>0</v>
      </c>
      <c r="AG11" s="3">
        <f>AL34</f>
        <v>150</v>
      </c>
      <c r="AH11" s="22">
        <v>0</v>
      </c>
    </row>
    <row r="12" spans="22:41" x14ac:dyDescent="0.25">
      <c r="V12" s="23"/>
      <c r="W12" s="3">
        <f>AJ$4+2</f>
        <v>156.5</v>
      </c>
      <c r="X12" s="3">
        <f>1.05*B/2</f>
        <v>13.125</v>
      </c>
      <c r="Y12" s="16">
        <f>W34</f>
        <v>5.5</v>
      </c>
      <c r="Z12" s="23"/>
      <c r="AA12" s="3">
        <f>0.4*Lpp</f>
        <v>60</v>
      </c>
      <c r="AB12" s="3">
        <f>0.55*B</f>
        <v>13.750000000000002</v>
      </c>
      <c r="AC12" s="16">
        <f>1.1*D</f>
        <v>15.400000000000002</v>
      </c>
      <c r="AD12" s="23"/>
      <c r="AE12" s="3">
        <f>X34</f>
        <v>-3.75</v>
      </c>
      <c r="AF12" s="3">
        <f>Y34</f>
        <v>0</v>
      </c>
      <c r="AG12" s="3">
        <f>AL34</f>
        <v>150</v>
      </c>
      <c r="AH12" s="22">
        <f>AM34</f>
        <v>0</v>
      </c>
    </row>
    <row r="13" spans="22:41" x14ac:dyDescent="0.25">
      <c r="V13" s="23" t="s">
        <v>51</v>
      </c>
      <c r="W13" s="3">
        <f>AJ$3-2</f>
        <v>-8</v>
      </c>
      <c r="X13" s="3">
        <f>-1.05*B/2</f>
        <v>-13.125</v>
      </c>
      <c r="Y13" s="16">
        <f>W35</f>
        <v>4.4000000000000004</v>
      </c>
      <c r="Z13" s="23" t="s">
        <v>70</v>
      </c>
      <c r="AA13" s="3">
        <f>0.5*Lpp</f>
        <v>75</v>
      </c>
      <c r="AB13" s="3">
        <v>0</v>
      </c>
      <c r="AC13" s="16">
        <v>0</v>
      </c>
      <c r="AD13" s="23" t="s">
        <v>51</v>
      </c>
      <c r="AE13" s="3"/>
      <c r="AF13" s="3"/>
      <c r="AG13" s="3">
        <f>AL35</f>
        <v>150</v>
      </c>
      <c r="AH13" s="22">
        <v>0</v>
      </c>
    </row>
    <row r="14" spans="22:41" x14ac:dyDescent="0.25">
      <c r="V14" s="23"/>
      <c r="W14" s="3">
        <f>AJ$4+2</f>
        <v>156.5</v>
      </c>
      <c r="X14" s="3">
        <f>1.05*B/2</f>
        <v>13.125</v>
      </c>
      <c r="Y14" s="16">
        <f>W35</f>
        <v>4.4000000000000004</v>
      </c>
      <c r="Z14" s="23"/>
      <c r="AA14" s="3">
        <f>0.5*Lpp</f>
        <v>75</v>
      </c>
      <c r="AB14" s="3">
        <f>0.55*B</f>
        <v>13.750000000000002</v>
      </c>
      <c r="AC14" s="16">
        <f>1.1*D</f>
        <v>15.400000000000002</v>
      </c>
      <c r="AD14" s="23"/>
      <c r="AE14" s="3"/>
      <c r="AF14" s="3"/>
      <c r="AG14" s="3">
        <f>AL35</f>
        <v>150</v>
      </c>
      <c r="AH14" s="22">
        <f>AM35</f>
        <v>0</v>
      </c>
    </row>
    <row r="15" spans="22:41" x14ac:dyDescent="0.25">
      <c r="V15" s="23" t="s">
        <v>52</v>
      </c>
      <c r="W15" s="3">
        <f>AJ$3-2</f>
        <v>-8</v>
      </c>
      <c r="X15" s="3">
        <f>-1.05*B/2</f>
        <v>-13.125</v>
      </c>
      <c r="Y15" s="16">
        <f>W36</f>
        <v>3.3</v>
      </c>
      <c r="Z15" s="23" t="s">
        <v>71</v>
      </c>
      <c r="AA15" s="3">
        <f>0.6*Lpp</f>
        <v>90</v>
      </c>
      <c r="AB15" s="3">
        <v>0</v>
      </c>
      <c r="AC15" s="16">
        <v>0</v>
      </c>
      <c r="AD15" s="23" t="s">
        <v>52</v>
      </c>
      <c r="AE15" s="3"/>
      <c r="AF15" s="3"/>
      <c r="AG15" s="3">
        <f>AL36</f>
        <v>151.19999999999999</v>
      </c>
      <c r="AH15" s="22">
        <v>0</v>
      </c>
    </row>
    <row r="16" spans="22:41" x14ac:dyDescent="0.25">
      <c r="V16" s="23"/>
      <c r="W16" s="3">
        <f>AJ$4+2</f>
        <v>156.5</v>
      </c>
      <c r="X16" s="3">
        <f>1.05*B/2</f>
        <v>13.125</v>
      </c>
      <c r="Y16" s="16">
        <f>W36</f>
        <v>3.3</v>
      </c>
      <c r="Z16" s="23"/>
      <c r="AA16" s="3">
        <f>0.6*Lpp</f>
        <v>90</v>
      </c>
      <c r="AB16" s="3">
        <f>0.55*B</f>
        <v>13.750000000000002</v>
      </c>
      <c r="AC16" s="16">
        <f>1.1*D</f>
        <v>15.400000000000002</v>
      </c>
      <c r="AD16" s="23"/>
      <c r="AE16" s="3"/>
      <c r="AF16" s="3"/>
      <c r="AG16" s="3">
        <f>AL36</f>
        <v>151.19999999999999</v>
      </c>
      <c r="AH16" s="22">
        <f>AM36</f>
        <v>0.5</v>
      </c>
    </row>
    <row r="17" spans="22:50" x14ac:dyDescent="0.25">
      <c r="V17" s="23" t="s">
        <v>53</v>
      </c>
      <c r="W17" s="3">
        <f>AJ$3-2</f>
        <v>-8</v>
      </c>
      <c r="X17" s="3">
        <f>-1.05*B/2</f>
        <v>-13.125</v>
      </c>
      <c r="Y17" s="16">
        <f>W37</f>
        <v>2.2000000000000002</v>
      </c>
      <c r="Z17" s="23" t="s">
        <v>72</v>
      </c>
      <c r="AA17" s="3">
        <f>0.7*Lpp</f>
        <v>105</v>
      </c>
      <c r="AB17" s="3">
        <v>0</v>
      </c>
      <c r="AC17" s="16">
        <v>0</v>
      </c>
      <c r="AD17" s="23" t="s">
        <v>53</v>
      </c>
      <c r="AE17" s="3"/>
      <c r="AF17" s="3"/>
      <c r="AG17" s="3">
        <f>AL37</f>
        <v>152.24999999999997</v>
      </c>
      <c r="AH17" s="22">
        <v>0</v>
      </c>
    </row>
    <row r="18" spans="22:50" x14ac:dyDescent="0.25">
      <c r="V18" s="23"/>
      <c r="W18" s="3">
        <f>AJ$4+2</f>
        <v>156.5</v>
      </c>
      <c r="X18" s="3">
        <f>1.05*B/2</f>
        <v>13.125</v>
      </c>
      <c r="Y18" s="16">
        <f>W37</f>
        <v>2.2000000000000002</v>
      </c>
      <c r="Z18" s="23"/>
      <c r="AA18" s="3">
        <f>0.7*Lpp</f>
        <v>105</v>
      </c>
      <c r="AB18" s="3">
        <f>0.55*B</f>
        <v>13.750000000000002</v>
      </c>
      <c r="AC18" s="16">
        <f>1.1*D</f>
        <v>15.400000000000002</v>
      </c>
      <c r="AD18" s="23"/>
      <c r="AE18" s="3"/>
      <c r="AF18" s="3"/>
      <c r="AG18" s="3">
        <f>AL37</f>
        <v>152.24999999999997</v>
      </c>
      <c r="AH18" s="22">
        <f>AM37</f>
        <v>0.625</v>
      </c>
    </row>
    <row r="19" spans="22:50" x14ac:dyDescent="0.25">
      <c r="V19" s="23" t="s">
        <v>54</v>
      </c>
      <c r="W19" s="3">
        <f>AJ$3-2</f>
        <v>-8</v>
      </c>
      <c r="X19" s="3">
        <f>-1.05*B/2</f>
        <v>-13.125</v>
      </c>
      <c r="Y19" s="16">
        <f>W38</f>
        <v>1.1000000000000001</v>
      </c>
      <c r="Z19" s="23" t="s">
        <v>73</v>
      </c>
      <c r="AA19" s="3">
        <f>0.8*Lpp</f>
        <v>120</v>
      </c>
      <c r="AB19" s="3">
        <v>0</v>
      </c>
      <c r="AC19" s="16">
        <v>0</v>
      </c>
      <c r="AD19" s="23" t="s">
        <v>54</v>
      </c>
      <c r="AE19" s="3"/>
      <c r="AF19" s="3"/>
      <c r="AG19" s="3">
        <f>AL38</f>
        <v>152.24999999999997</v>
      </c>
      <c r="AH19" s="22">
        <v>0</v>
      </c>
    </row>
    <row r="20" spans="22:50" ht="15.75" thickBot="1" x14ac:dyDescent="0.3">
      <c r="V20" s="24"/>
      <c r="W20" s="25">
        <f>AJ$4+2</f>
        <v>156.5</v>
      </c>
      <c r="X20" s="25">
        <f>1.05*B/2</f>
        <v>13.125</v>
      </c>
      <c r="Y20" s="59">
        <f>W38</f>
        <v>1.1000000000000001</v>
      </c>
      <c r="Z20" s="23"/>
      <c r="AA20" s="3">
        <f>0.8*Lpp</f>
        <v>120</v>
      </c>
      <c r="AB20" s="3">
        <f>0.55*B</f>
        <v>13.750000000000002</v>
      </c>
      <c r="AC20" s="16">
        <f>1.1*D</f>
        <v>15.400000000000002</v>
      </c>
      <c r="AD20" s="23"/>
      <c r="AE20" s="3"/>
      <c r="AF20" s="3"/>
      <c r="AG20" s="3">
        <f>AL38</f>
        <v>152.24999999999997</v>
      </c>
      <c r="AH20" s="22">
        <f>AM38</f>
        <v>0.5</v>
      </c>
    </row>
    <row r="21" spans="22:50" x14ac:dyDescent="0.25">
      <c r="Z21" s="23" t="s">
        <v>74</v>
      </c>
      <c r="AA21" s="3">
        <f>0.9*Lpp</f>
        <v>135</v>
      </c>
      <c r="AB21" s="3">
        <v>0</v>
      </c>
      <c r="AC21" s="16">
        <v>0</v>
      </c>
      <c r="AD21" s="23" t="s">
        <v>55</v>
      </c>
      <c r="AE21" s="3"/>
      <c r="AF21" s="3"/>
      <c r="AG21" s="3">
        <f>AL39</f>
        <v>151.94999999999999</v>
      </c>
      <c r="AH21" s="22">
        <v>0</v>
      </c>
    </row>
    <row r="22" spans="22:50" ht="15.75" thickBot="1" x14ac:dyDescent="0.3">
      <c r="Z22" s="23"/>
      <c r="AA22" s="3">
        <f>0.9*Lpp</f>
        <v>135</v>
      </c>
      <c r="AB22" s="3">
        <f>0.55*B</f>
        <v>13.750000000000002</v>
      </c>
      <c r="AC22" s="16">
        <f>1.1*D</f>
        <v>15.400000000000002</v>
      </c>
      <c r="AD22" s="24"/>
      <c r="AE22" s="25"/>
      <c r="AF22" s="25"/>
      <c r="AG22" s="25">
        <f>AL39</f>
        <v>151.94999999999999</v>
      </c>
      <c r="AH22" s="26">
        <f>AM39</f>
        <v>0.375</v>
      </c>
    </row>
    <row r="23" spans="22:50" x14ac:dyDescent="0.25">
      <c r="Z23" s="23" t="s">
        <v>75</v>
      </c>
      <c r="AA23" s="3">
        <f>Lpp</f>
        <v>150</v>
      </c>
      <c r="AB23" s="3">
        <v>0</v>
      </c>
      <c r="AC23" s="22">
        <v>0</v>
      </c>
    </row>
    <row r="24" spans="22:50" ht="15.75" thickBot="1" x14ac:dyDescent="0.3">
      <c r="Z24" s="24"/>
      <c r="AA24" s="25">
        <f>Lpp</f>
        <v>150</v>
      </c>
      <c r="AB24" s="25">
        <f>0.55*B</f>
        <v>13.750000000000002</v>
      </c>
      <c r="AC24" s="26">
        <f>1.1*D</f>
        <v>15.400000000000002</v>
      </c>
    </row>
    <row r="25" spans="22:50" ht="15.75" thickBot="1" x14ac:dyDescent="0.3"/>
    <row r="26" spans="22:50" x14ac:dyDescent="0.25">
      <c r="V26" s="29"/>
      <c r="W26" s="18"/>
      <c r="X26" s="18"/>
      <c r="Y26" s="18"/>
      <c r="Z26" s="18"/>
      <c r="AA26" s="156" t="s">
        <v>127</v>
      </c>
      <c r="AB26" s="157"/>
      <c r="AC26" s="157"/>
      <c r="AD26" s="157"/>
      <c r="AE26" s="157"/>
      <c r="AF26" s="158"/>
      <c r="AG26" s="18"/>
      <c r="AH26" s="18"/>
      <c r="AI26" s="18"/>
      <c r="AJ26" s="18"/>
      <c r="AK26" s="18"/>
      <c r="AL26" s="18"/>
      <c r="AM26" s="20"/>
      <c r="AP26" s="29"/>
      <c r="AQ26" s="18"/>
      <c r="AR26" s="18" t="s">
        <v>93</v>
      </c>
      <c r="AS26" s="18" t="s">
        <v>65</v>
      </c>
      <c r="AT26" s="18" t="s">
        <v>66</v>
      </c>
      <c r="AU26" s="18" t="s">
        <v>67</v>
      </c>
      <c r="AV26" s="18" t="s">
        <v>68</v>
      </c>
      <c r="AW26" s="18" t="s">
        <v>69</v>
      </c>
      <c r="AX26" s="20" t="s">
        <v>70</v>
      </c>
    </row>
    <row r="27" spans="22:50" ht="15.75" thickBot="1" x14ac:dyDescent="0.3">
      <c r="V27" s="35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6"/>
      <c r="AP27" s="23"/>
      <c r="AQ27" s="3" t="s">
        <v>59</v>
      </c>
      <c r="AR27" s="3" t="s">
        <v>62</v>
      </c>
      <c r="AS27" s="3">
        <v>0</v>
      </c>
      <c r="AT27" s="3">
        <f>0.1*Lpp</f>
        <v>15</v>
      </c>
      <c r="AU27" s="3">
        <f>0.2*Lpp</f>
        <v>30</v>
      </c>
      <c r="AV27" s="3">
        <f>0.3*Lpp</f>
        <v>45</v>
      </c>
      <c r="AW27" s="3">
        <f>0.4*Lpp</f>
        <v>60</v>
      </c>
      <c r="AX27" s="22">
        <f>0.5*Lpp</f>
        <v>75</v>
      </c>
    </row>
    <row r="28" spans="22:50" x14ac:dyDescent="0.25">
      <c r="V28" s="120"/>
      <c r="W28" s="29"/>
      <c r="X28" s="18" t="s">
        <v>60</v>
      </c>
      <c r="Y28" s="18"/>
      <c r="Z28" s="20" t="s">
        <v>63</v>
      </c>
      <c r="AA28" s="29" t="s">
        <v>65</v>
      </c>
      <c r="AB28" s="18" t="s">
        <v>66</v>
      </c>
      <c r="AC28" s="18" t="s">
        <v>67</v>
      </c>
      <c r="AD28" s="18" t="s">
        <v>68</v>
      </c>
      <c r="AE28" s="18" t="s">
        <v>69</v>
      </c>
      <c r="AF28" s="18" t="s">
        <v>70</v>
      </c>
      <c r="AG28" s="18" t="s">
        <v>71</v>
      </c>
      <c r="AH28" s="18" t="s">
        <v>72</v>
      </c>
      <c r="AI28" s="18" t="s">
        <v>73</v>
      </c>
      <c r="AJ28" s="18" t="s">
        <v>74</v>
      </c>
      <c r="AK28" s="20" t="s">
        <v>75</v>
      </c>
      <c r="AL28" s="17" t="s">
        <v>76</v>
      </c>
      <c r="AM28" s="20"/>
      <c r="AP28" s="23" t="s">
        <v>46</v>
      </c>
      <c r="AQ28" s="3">
        <f>1*(D-T)+T</f>
        <v>14</v>
      </c>
      <c r="AR28" s="3">
        <f>-Y30</f>
        <v>-11.875</v>
      </c>
      <c r="AS28" s="3">
        <f t="shared" ref="AS28:AX28" si="1">-AA30</f>
        <v>-12.375</v>
      </c>
      <c r="AT28" s="3">
        <f t="shared" si="1"/>
        <v>-12.5</v>
      </c>
      <c r="AU28" s="3">
        <f t="shared" si="1"/>
        <v>-12.5</v>
      </c>
      <c r="AV28" s="3">
        <f t="shared" si="1"/>
        <v>-12.5</v>
      </c>
      <c r="AW28" s="3">
        <f t="shared" si="1"/>
        <v>-12.5</v>
      </c>
      <c r="AX28" s="22">
        <f t="shared" si="1"/>
        <v>-12.5</v>
      </c>
    </row>
    <row r="29" spans="22:50" ht="15.75" thickBot="1" x14ac:dyDescent="0.3">
      <c r="V29" s="133"/>
      <c r="W29" s="24" t="s">
        <v>59</v>
      </c>
      <c r="X29" s="25" t="s">
        <v>61</v>
      </c>
      <c r="Y29" s="25" t="s">
        <v>62</v>
      </c>
      <c r="Z29" s="26" t="s">
        <v>64</v>
      </c>
      <c r="AA29" s="24" cm="1">
        <f t="array" ref="AA29:AK29">'Offset Tables'!G8:Q8</f>
        <v>0</v>
      </c>
      <c r="AB29" s="25">
        <v>15</v>
      </c>
      <c r="AC29" s="25">
        <v>30</v>
      </c>
      <c r="AD29" s="25">
        <v>45</v>
      </c>
      <c r="AE29" s="25">
        <v>60</v>
      </c>
      <c r="AF29" s="25">
        <v>75</v>
      </c>
      <c r="AG29" s="25">
        <v>90</v>
      </c>
      <c r="AH29" s="25">
        <v>105</v>
      </c>
      <c r="AI29" s="25">
        <v>120</v>
      </c>
      <c r="AJ29" s="25">
        <v>135</v>
      </c>
      <c r="AK29" s="26">
        <v>150</v>
      </c>
      <c r="AL29" s="76" t="s">
        <v>61</v>
      </c>
      <c r="AM29" s="26" t="s">
        <v>62</v>
      </c>
      <c r="AP29" s="23" t="s">
        <v>47</v>
      </c>
      <c r="AQ29" s="3">
        <f>0.75*(D-T)+T</f>
        <v>11.875</v>
      </c>
      <c r="AR29" s="3">
        <f t="shared" ref="AR29:AR39" si="2">-Y31</f>
        <v>-11.75</v>
      </c>
      <c r="AS29" s="3">
        <f t="shared" ref="AS29:AS39" si="3">-AA31</f>
        <v>-12.3375</v>
      </c>
      <c r="AT29" s="3">
        <f t="shared" ref="AT29:AT39" si="4">-AB31</f>
        <v>-12.5</v>
      </c>
      <c r="AU29" s="3">
        <f t="shared" ref="AU29:AU39" si="5">-AC31</f>
        <v>-12.5</v>
      </c>
      <c r="AV29" s="3">
        <f t="shared" ref="AV29:AV39" si="6">-AD31</f>
        <v>-12.5</v>
      </c>
      <c r="AW29" s="3">
        <f t="shared" ref="AW29:AW39" si="7">-AE31</f>
        <v>-12.5</v>
      </c>
      <c r="AX29" s="22">
        <f t="shared" ref="AX29:AX39" si="8">-AF31</f>
        <v>-12.5</v>
      </c>
    </row>
    <row r="30" spans="22:50" x14ac:dyDescent="0.25">
      <c r="V30" s="137" t="s">
        <v>46</v>
      </c>
      <c r="W30" s="138" cm="1">
        <f t="array" ref="W30:AM42">'Offset Tables'!C9:S21</f>
        <v>14</v>
      </c>
      <c r="X30" s="15">
        <v>-6</v>
      </c>
      <c r="Y30" s="15">
        <v>11.875</v>
      </c>
      <c r="Z30" s="28">
        <v>0</v>
      </c>
      <c r="AA30" s="21">
        <v>12.375</v>
      </c>
      <c r="AB30" s="15">
        <v>12.5</v>
      </c>
      <c r="AC30" s="15">
        <v>12.5</v>
      </c>
      <c r="AD30" s="15">
        <v>12.5</v>
      </c>
      <c r="AE30" s="15">
        <v>12.5</v>
      </c>
      <c r="AF30" s="15">
        <v>12.5</v>
      </c>
      <c r="AG30" s="15">
        <v>12.5</v>
      </c>
      <c r="AH30" s="15">
        <v>12.5</v>
      </c>
      <c r="AI30" s="15">
        <v>12.5</v>
      </c>
      <c r="AJ30" s="15">
        <v>11.125</v>
      </c>
      <c r="AK30" s="28">
        <v>6.25</v>
      </c>
      <c r="AL30" s="127">
        <v>154.5</v>
      </c>
      <c r="AM30" s="28">
        <v>2.5</v>
      </c>
      <c r="AP30" s="23" t="s">
        <v>48</v>
      </c>
      <c r="AQ30" s="3">
        <f>0.5*(D-T)+T</f>
        <v>9.75</v>
      </c>
      <c r="AR30" s="3">
        <f t="shared" si="2"/>
        <v>-11.375</v>
      </c>
      <c r="AS30" s="3">
        <f t="shared" si="3"/>
        <v>-12</v>
      </c>
      <c r="AT30" s="3">
        <f t="shared" si="4"/>
        <v>-12.5</v>
      </c>
      <c r="AU30" s="3">
        <f t="shared" si="5"/>
        <v>-12.5</v>
      </c>
      <c r="AV30" s="3">
        <f t="shared" si="6"/>
        <v>-12.5</v>
      </c>
      <c r="AW30" s="3">
        <f t="shared" si="7"/>
        <v>-12.5</v>
      </c>
      <c r="AX30" s="22">
        <f t="shared" si="8"/>
        <v>-12.5</v>
      </c>
    </row>
    <row r="31" spans="22:50" x14ac:dyDescent="0.25">
      <c r="V31" s="121" t="s">
        <v>47</v>
      </c>
      <c r="W31" s="23">
        <v>11.875</v>
      </c>
      <c r="X31" s="3">
        <v>-5.7</v>
      </c>
      <c r="Y31" s="3">
        <v>11.75</v>
      </c>
      <c r="Z31" s="22">
        <v>0</v>
      </c>
      <c r="AA31" s="23">
        <v>12.3375</v>
      </c>
      <c r="AB31" s="3">
        <v>12.5</v>
      </c>
      <c r="AC31" s="3">
        <v>12.5</v>
      </c>
      <c r="AD31" s="3">
        <v>12.5</v>
      </c>
      <c r="AE31" s="3">
        <v>12.5</v>
      </c>
      <c r="AF31" s="3">
        <v>12.5</v>
      </c>
      <c r="AG31" s="3">
        <v>12.5</v>
      </c>
      <c r="AH31" s="3">
        <v>12.5</v>
      </c>
      <c r="AI31" s="3">
        <v>12.375</v>
      </c>
      <c r="AJ31" s="3">
        <v>10.25</v>
      </c>
      <c r="AK31" s="22">
        <v>4.375</v>
      </c>
      <c r="AL31" s="116">
        <v>153.30000000000001</v>
      </c>
      <c r="AM31" s="22">
        <v>1.5</v>
      </c>
      <c r="AP31" s="23" t="s">
        <v>49</v>
      </c>
      <c r="AQ31" s="3">
        <f>0.25*(D-T)+T</f>
        <v>7.625</v>
      </c>
      <c r="AR31" s="3">
        <f t="shared" si="2"/>
        <v>-9.375</v>
      </c>
      <c r="AS31" s="3">
        <f t="shared" si="3"/>
        <v>-10.5</v>
      </c>
      <c r="AT31" s="3">
        <f t="shared" si="4"/>
        <v>-12.125</v>
      </c>
      <c r="AU31" s="3">
        <f t="shared" si="5"/>
        <v>-12.5</v>
      </c>
      <c r="AV31" s="3">
        <f t="shared" si="6"/>
        <v>-12.5</v>
      </c>
      <c r="AW31" s="3">
        <f t="shared" si="7"/>
        <v>-12.5</v>
      </c>
      <c r="AX31" s="22">
        <f t="shared" si="8"/>
        <v>-12.5</v>
      </c>
    </row>
    <row r="32" spans="22:50" x14ac:dyDescent="0.25">
      <c r="V32" s="121" t="s">
        <v>48</v>
      </c>
      <c r="W32" s="23">
        <v>9.75</v>
      </c>
      <c r="X32" s="3">
        <v>-5.2500000000000009</v>
      </c>
      <c r="Y32" s="3">
        <v>11.375</v>
      </c>
      <c r="Z32" s="22">
        <v>0</v>
      </c>
      <c r="AA32" s="23">
        <v>12</v>
      </c>
      <c r="AB32" s="3">
        <v>12.5</v>
      </c>
      <c r="AC32" s="3">
        <v>12.5</v>
      </c>
      <c r="AD32" s="3">
        <v>12.5</v>
      </c>
      <c r="AE32" s="3">
        <v>12.5</v>
      </c>
      <c r="AF32" s="3">
        <v>12.5</v>
      </c>
      <c r="AG32" s="3">
        <v>12.5</v>
      </c>
      <c r="AH32" s="3">
        <v>12.5</v>
      </c>
      <c r="AI32" s="3">
        <v>12</v>
      </c>
      <c r="AJ32" s="3">
        <v>9.25</v>
      </c>
      <c r="AK32" s="22">
        <v>2.5</v>
      </c>
      <c r="AL32" s="116">
        <v>151.94999999999999</v>
      </c>
      <c r="AM32" s="22">
        <v>0.75</v>
      </c>
      <c r="AP32" s="23" t="s">
        <v>50</v>
      </c>
      <c r="AQ32" s="3">
        <f>T</f>
        <v>5.5</v>
      </c>
      <c r="AR32" s="3">
        <f t="shared" si="2"/>
        <v>0</v>
      </c>
      <c r="AS32" s="3">
        <f t="shared" si="3"/>
        <v>-5</v>
      </c>
      <c r="AT32" s="3">
        <f t="shared" si="4"/>
        <v>-10.875</v>
      </c>
      <c r="AU32" s="3">
        <f t="shared" si="5"/>
        <v>-12.3125</v>
      </c>
      <c r="AV32" s="3">
        <f t="shared" si="6"/>
        <v>-12.5</v>
      </c>
      <c r="AW32" s="3">
        <f t="shared" si="7"/>
        <v>-12.5</v>
      </c>
      <c r="AX32" s="22">
        <f t="shared" si="8"/>
        <v>-12.5</v>
      </c>
    </row>
    <row r="33" spans="3:50" x14ac:dyDescent="0.25">
      <c r="V33" s="121" t="s">
        <v>49</v>
      </c>
      <c r="W33" s="23">
        <v>7.625</v>
      </c>
      <c r="X33" s="3">
        <v>-4.5</v>
      </c>
      <c r="Y33" s="3">
        <v>9.375</v>
      </c>
      <c r="Z33" s="22">
        <v>0</v>
      </c>
      <c r="AA33" s="23">
        <v>10.5</v>
      </c>
      <c r="AB33" s="3">
        <v>12.125</v>
      </c>
      <c r="AC33" s="3">
        <v>12.5</v>
      </c>
      <c r="AD33" s="3">
        <v>12.5</v>
      </c>
      <c r="AE33" s="3">
        <v>12.5</v>
      </c>
      <c r="AF33" s="3">
        <v>12.5</v>
      </c>
      <c r="AG33" s="3">
        <v>12.5</v>
      </c>
      <c r="AH33" s="3">
        <v>12.5</v>
      </c>
      <c r="AI33" s="3">
        <v>11.25</v>
      </c>
      <c r="AJ33" s="3">
        <v>7.875</v>
      </c>
      <c r="AK33" s="22">
        <v>1</v>
      </c>
      <c r="AL33" s="116">
        <v>150.9</v>
      </c>
      <c r="AM33" s="22">
        <v>0.25</v>
      </c>
      <c r="AP33" s="23" t="s">
        <v>51</v>
      </c>
      <c r="AQ33" s="3">
        <f>0.8*T</f>
        <v>4.4000000000000004</v>
      </c>
      <c r="AR33" s="3">
        <f t="shared" si="2"/>
        <v>0</v>
      </c>
      <c r="AS33" s="3">
        <f t="shared" si="3"/>
        <v>5</v>
      </c>
      <c r="AT33" s="3">
        <f t="shared" si="4"/>
        <v>-8.125</v>
      </c>
      <c r="AU33" s="3">
        <f t="shared" si="5"/>
        <v>-11.625</v>
      </c>
      <c r="AV33" s="3">
        <f t="shared" si="6"/>
        <v>-12.4625</v>
      </c>
      <c r="AW33" s="3">
        <f t="shared" si="7"/>
        <v>-12.5</v>
      </c>
      <c r="AX33" s="22">
        <f t="shared" si="8"/>
        <v>-12.5</v>
      </c>
    </row>
    <row r="34" spans="3:50" x14ac:dyDescent="0.25">
      <c r="V34" s="121" t="s">
        <v>50</v>
      </c>
      <c r="W34" s="23">
        <v>5.5</v>
      </c>
      <c r="X34" s="3">
        <v>-3.75</v>
      </c>
      <c r="Y34" s="3">
        <v>0</v>
      </c>
      <c r="Z34" s="22">
        <v>-3.75</v>
      </c>
      <c r="AA34" s="23">
        <v>5</v>
      </c>
      <c r="AB34" s="3">
        <v>10.875</v>
      </c>
      <c r="AC34" s="3">
        <v>12.3125</v>
      </c>
      <c r="AD34" s="3">
        <v>12.5</v>
      </c>
      <c r="AE34" s="3">
        <v>12.5</v>
      </c>
      <c r="AF34" s="3">
        <v>12.5</v>
      </c>
      <c r="AG34" s="3">
        <v>12.5</v>
      </c>
      <c r="AH34" s="3">
        <v>12.25</v>
      </c>
      <c r="AI34" s="3">
        <v>10.25</v>
      </c>
      <c r="AJ34" s="3">
        <v>6.125</v>
      </c>
      <c r="AK34" s="22">
        <v>0</v>
      </c>
      <c r="AL34" s="116">
        <v>150</v>
      </c>
      <c r="AM34" s="22">
        <v>0</v>
      </c>
      <c r="AP34" s="23" t="s">
        <v>52</v>
      </c>
      <c r="AQ34" s="3">
        <f>0.6*T</f>
        <v>3.3</v>
      </c>
      <c r="AR34" s="3">
        <f t="shared" si="2"/>
        <v>0</v>
      </c>
      <c r="AS34" s="3">
        <f t="shared" si="3"/>
        <v>12.5</v>
      </c>
      <c r="AT34" s="3">
        <f t="shared" si="4"/>
        <v>-2.5</v>
      </c>
      <c r="AU34" s="3">
        <f t="shared" si="5"/>
        <v>-10</v>
      </c>
      <c r="AV34" s="3">
        <f t="shared" si="6"/>
        <v>-12.25</v>
      </c>
      <c r="AW34" s="3">
        <f t="shared" si="7"/>
        <v>-12.5</v>
      </c>
      <c r="AX34" s="22">
        <f t="shared" si="8"/>
        <v>-12.5</v>
      </c>
    </row>
    <row r="35" spans="3:50" x14ac:dyDescent="0.25">
      <c r="V35" s="121" t="s">
        <v>51</v>
      </c>
      <c r="W35" s="23">
        <v>4.4000000000000004</v>
      </c>
      <c r="X35" s="3">
        <v>4.8</v>
      </c>
      <c r="Y35" s="3">
        <v>0</v>
      </c>
      <c r="Z35" s="22">
        <v>6</v>
      </c>
      <c r="AA35" s="23">
        <v>-5</v>
      </c>
      <c r="AB35" s="3">
        <v>8.125</v>
      </c>
      <c r="AC35" s="3">
        <v>11.625</v>
      </c>
      <c r="AD35" s="3">
        <v>12.4625</v>
      </c>
      <c r="AE35" s="3">
        <v>12.5</v>
      </c>
      <c r="AF35" s="3">
        <v>12.5</v>
      </c>
      <c r="AG35" s="3">
        <v>12.5</v>
      </c>
      <c r="AH35" s="3">
        <v>11.875</v>
      </c>
      <c r="AI35" s="3">
        <v>9.5</v>
      </c>
      <c r="AJ35" s="3">
        <v>5.125</v>
      </c>
      <c r="AK35" s="22">
        <v>0.125</v>
      </c>
      <c r="AL35" s="116">
        <v>150</v>
      </c>
      <c r="AM35" s="22">
        <v>0</v>
      </c>
      <c r="AP35" s="23" t="s">
        <v>53</v>
      </c>
      <c r="AQ35" s="3">
        <f>0.4*T</f>
        <v>2.2000000000000002</v>
      </c>
      <c r="AR35" s="3">
        <f t="shared" si="2"/>
        <v>0</v>
      </c>
      <c r="AS35" s="3">
        <f t="shared" si="3"/>
        <v>25</v>
      </c>
      <c r="AT35" s="3">
        <f t="shared" si="4"/>
        <v>2.5</v>
      </c>
      <c r="AU35" s="3">
        <f t="shared" si="5"/>
        <v>-7.2499999999999991</v>
      </c>
      <c r="AV35" s="3">
        <f t="shared" si="6"/>
        <v>-11.625</v>
      </c>
      <c r="AW35" s="3">
        <f t="shared" si="7"/>
        <v>-12.4375</v>
      </c>
      <c r="AX35" s="22">
        <f t="shared" si="8"/>
        <v>-12.4375</v>
      </c>
    </row>
    <row r="36" spans="3:50" x14ac:dyDescent="0.25">
      <c r="V36" s="121" t="s">
        <v>52</v>
      </c>
      <c r="W36" s="23">
        <v>3.3</v>
      </c>
      <c r="X36" s="3">
        <v>5.7</v>
      </c>
      <c r="Y36" s="3">
        <v>0</v>
      </c>
      <c r="Z36" s="22">
        <v>13.5</v>
      </c>
      <c r="AA36" s="23">
        <v>-12.5</v>
      </c>
      <c r="AB36" s="3">
        <v>2.5</v>
      </c>
      <c r="AC36" s="3">
        <v>10</v>
      </c>
      <c r="AD36" s="3">
        <v>12.25</v>
      </c>
      <c r="AE36" s="3">
        <v>12.5</v>
      </c>
      <c r="AF36" s="3">
        <v>12.5</v>
      </c>
      <c r="AG36" s="3">
        <v>12.375</v>
      </c>
      <c r="AH36" s="3">
        <v>11.25</v>
      </c>
      <c r="AI36" s="3">
        <v>8.375</v>
      </c>
      <c r="AJ36" s="3">
        <v>4.125</v>
      </c>
      <c r="AK36" s="22">
        <v>0.75</v>
      </c>
      <c r="AL36" s="116">
        <v>151.19999999999999</v>
      </c>
      <c r="AM36" s="22">
        <v>0.5</v>
      </c>
      <c r="AP36" s="23" t="s">
        <v>54</v>
      </c>
      <c r="AQ36" s="3">
        <f>0.2*T</f>
        <v>1.1000000000000001</v>
      </c>
      <c r="AR36" s="3">
        <f t="shared" si="2"/>
        <v>0</v>
      </c>
      <c r="AS36" s="3">
        <f t="shared" si="3"/>
        <v>25</v>
      </c>
      <c r="AT36" s="3">
        <f t="shared" si="4"/>
        <v>6.25</v>
      </c>
      <c r="AU36" s="3">
        <f t="shared" si="5"/>
        <v>-4.125</v>
      </c>
      <c r="AV36" s="3">
        <f t="shared" si="6"/>
        <v>-10</v>
      </c>
      <c r="AW36" s="3">
        <f t="shared" si="7"/>
        <v>-12.125</v>
      </c>
      <c r="AX36" s="22">
        <f t="shared" si="8"/>
        <v>-12.125</v>
      </c>
    </row>
    <row r="37" spans="3:50" x14ac:dyDescent="0.25">
      <c r="V37" s="121" t="s">
        <v>53</v>
      </c>
      <c r="W37" s="23">
        <v>2.2000000000000002</v>
      </c>
      <c r="X37" s="3">
        <v>6</v>
      </c>
      <c r="Y37" s="3">
        <v>0</v>
      </c>
      <c r="Z37" s="22">
        <v>18</v>
      </c>
      <c r="AA37" s="23">
        <v>-25</v>
      </c>
      <c r="AB37" s="3">
        <v>-2.5</v>
      </c>
      <c r="AC37" s="3">
        <v>7.2499999999999991</v>
      </c>
      <c r="AD37" s="3">
        <v>11.625</v>
      </c>
      <c r="AE37" s="3">
        <v>12.4375</v>
      </c>
      <c r="AF37" s="3">
        <v>12.4375</v>
      </c>
      <c r="AG37" s="3">
        <v>12</v>
      </c>
      <c r="AH37" s="3">
        <v>10.25</v>
      </c>
      <c r="AI37" s="3">
        <v>7.0000000000000009</v>
      </c>
      <c r="AJ37" s="3">
        <v>3</v>
      </c>
      <c r="AK37" s="22">
        <v>0.87500000000000011</v>
      </c>
      <c r="AL37" s="116">
        <v>152.24999999999997</v>
      </c>
      <c r="AM37" s="22">
        <v>0.625</v>
      </c>
      <c r="AP37" s="23" t="s">
        <v>55</v>
      </c>
      <c r="AQ37" s="3">
        <f>0.1*T</f>
        <v>0.55000000000000004</v>
      </c>
      <c r="AR37" s="3">
        <f t="shared" si="2"/>
        <v>0</v>
      </c>
      <c r="AS37" s="3">
        <f t="shared" si="3"/>
        <v>25</v>
      </c>
      <c r="AT37" s="3">
        <f t="shared" si="4"/>
        <v>8.75</v>
      </c>
      <c r="AU37" s="3">
        <f t="shared" si="5"/>
        <v>-1.625</v>
      </c>
      <c r="AV37" s="3">
        <f t="shared" si="6"/>
        <v>-8.375</v>
      </c>
      <c r="AW37" s="3">
        <f t="shared" si="7"/>
        <v>-11.625</v>
      </c>
      <c r="AX37" s="22">
        <f t="shared" si="8"/>
        <v>-11.625</v>
      </c>
    </row>
    <row r="38" spans="3:50" x14ac:dyDescent="0.25">
      <c r="V38" s="121" t="s">
        <v>54</v>
      </c>
      <c r="W38" s="23">
        <v>1.1000000000000001</v>
      </c>
      <c r="X38" s="3">
        <v>6</v>
      </c>
      <c r="Y38" s="3">
        <v>0</v>
      </c>
      <c r="Z38" s="22">
        <v>22.5</v>
      </c>
      <c r="AA38" s="23">
        <v>-25</v>
      </c>
      <c r="AB38" s="3">
        <v>-6.25</v>
      </c>
      <c r="AC38" s="3">
        <v>4.125</v>
      </c>
      <c r="AD38" s="3">
        <v>10</v>
      </c>
      <c r="AE38" s="3">
        <v>12.125</v>
      </c>
      <c r="AF38" s="3">
        <v>12.125</v>
      </c>
      <c r="AG38" s="3">
        <v>11</v>
      </c>
      <c r="AH38" s="3">
        <v>8.625</v>
      </c>
      <c r="AI38" s="3">
        <v>5</v>
      </c>
      <c r="AJ38" s="3">
        <v>1.7500000000000002</v>
      </c>
      <c r="AK38" s="22">
        <v>0.75</v>
      </c>
      <c r="AL38" s="116">
        <v>152.24999999999997</v>
      </c>
      <c r="AM38" s="22">
        <v>0.5</v>
      </c>
      <c r="AP38" s="23" t="s">
        <v>56</v>
      </c>
      <c r="AQ38" s="3">
        <v>0</v>
      </c>
      <c r="AR38" s="3">
        <f t="shared" si="2"/>
        <v>0</v>
      </c>
      <c r="AS38" s="3">
        <f t="shared" si="3"/>
        <v>25</v>
      </c>
      <c r="AT38" s="3">
        <f t="shared" si="4"/>
        <v>12.5</v>
      </c>
      <c r="AU38" s="3">
        <f t="shared" si="5"/>
        <v>1.875</v>
      </c>
      <c r="AV38" s="3">
        <f t="shared" si="6"/>
        <v>-5.875</v>
      </c>
      <c r="AW38" s="3">
        <f t="shared" si="7"/>
        <v>-10.5</v>
      </c>
      <c r="AX38" s="22">
        <f t="shared" si="8"/>
        <v>-10.5</v>
      </c>
    </row>
    <row r="39" spans="3:50" x14ac:dyDescent="0.25">
      <c r="V39" s="121" t="s">
        <v>55</v>
      </c>
      <c r="W39" s="23">
        <v>0.55000000000000004</v>
      </c>
      <c r="X39" s="3">
        <v>6</v>
      </c>
      <c r="Y39" s="3">
        <v>0</v>
      </c>
      <c r="Z39" s="22">
        <v>25.500000000000004</v>
      </c>
      <c r="AA39" s="23">
        <v>-25</v>
      </c>
      <c r="AB39" s="3">
        <v>-8.75</v>
      </c>
      <c r="AC39" s="3">
        <v>1.625</v>
      </c>
      <c r="AD39" s="3">
        <v>8.375</v>
      </c>
      <c r="AE39" s="3">
        <v>11.625</v>
      </c>
      <c r="AF39" s="3">
        <v>11.625</v>
      </c>
      <c r="AG39" s="3">
        <v>10</v>
      </c>
      <c r="AH39" s="3">
        <v>6.8750000000000009</v>
      </c>
      <c r="AI39" s="3">
        <v>3.5000000000000004</v>
      </c>
      <c r="AJ39" s="3">
        <v>1</v>
      </c>
      <c r="AK39" s="22">
        <v>0.5</v>
      </c>
      <c r="AL39" s="116">
        <v>151.94999999999999</v>
      </c>
      <c r="AM39" s="22">
        <v>0.375</v>
      </c>
      <c r="AP39" s="23" t="s">
        <v>57</v>
      </c>
      <c r="AQ39" s="3">
        <v>0</v>
      </c>
      <c r="AR39" s="3">
        <f t="shared" si="2"/>
        <v>0</v>
      </c>
      <c r="AS39" s="3">
        <f t="shared" si="3"/>
        <v>25</v>
      </c>
      <c r="AT39" s="3">
        <f t="shared" si="4"/>
        <v>12.5</v>
      </c>
      <c r="AU39" s="3">
        <f t="shared" si="5"/>
        <v>2.5</v>
      </c>
      <c r="AV39" s="3">
        <f t="shared" si="6"/>
        <v>-5.625</v>
      </c>
      <c r="AW39" s="3">
        <f t="shared" si="7"/>
        <v>-10</v>
      </c>
      <c r="AX39" s="22">
        <f t="shared" si="8"/>
        <v>-10</v>
      </c>
    </row>
    <row r="40" spans="3:50" ht="15.75" thickBot="1" x14ac:dyDescent="0.3">
      <c r="V40" s="121" t="s">
        <v>56</v>
      </c>
      <c r="W40" s="23">
        <v>0</v>
      </c>
      <c r="X40" s="3">
        <v>6</v>
      </c>
      <c r="Y40" s="3">
        <v>0</v>
      </c>
      <c r="Z40" s="22">
        <v>30</v>
      </c>
      <c r="AA40" s="23">
        <v>-25</v>
      </c>
      <c r="AB40" s="3">
        <v>-12.5</v>
      </c>
      <c r="AC40" s="3">
        <v>-1.875</v>
      </c>
      <c r="AD40" s="3">
        <v>5.875</v>
      </c>
      <c r="AE40" s="3">
        <v>10.5</v>
      </c>
      <c r="AF40" s="3">
        <v>10.5</v>
      </c>
      <c r="AG40" s="3">
        <v>8.125</v>
      </c>
      <c r="AH40" s="3">
        <v>4.5</v>
      </c>
      <c r="AI40" s="3">
        <v>1.7500000000000002</v>
      </c>
      <c r="AJ40" s="3">
        <v>0.1875</v>
      </c>
      <c r="AK40" s="22">
        <v>0.125</v>
      </c>
      <c r="AL40" s="116">
        <v>150</v>
      </c>
      <c r="AM40" s="22">
        <v>1.2500000000000001E-2</v>
      </c>
      <c r="AP40" s="24" t="s">
        <v>58</v>
      </c>
      <c r="AQ40" s="25">
        <v>0</v>
      </c>
      <c r="AR40" s="25"/>
      <c r="AS40" s="25"/>
      <c r="AT40" s="25"/>
      <c r="AU40" s="25"/>
      <c r="AV40" s="25"/>
      <c r="AW40" s="25"/>
      <c r="AX40" s="26">
        <v>0</v>
      </c>
    </row>
    <row r="41" spans="3:50" x14ac:dyDescent="0.25">
      <c r="V41" s="121" t="s">
        <v>57</v>
      </c>
      <c r="W41" s="23">
        <v>0</v>
      </c>
      <c r="X41" s="3">
        <v>6</v>
      </c>
      <c r="Y41" s="3">
        <v>0</v>
      </c>
      <c r="Z41" s="22">
        <v>33</v>
      </c>
      <c r="AA41" s="23">
        <v>-25</v>
      </c>
      <c r="AB41" s="3">
        <v>-12.5</v>
      </c>
      <c r="AC41" s="3">
        <v>-2.5</v>
      </c>
      <c r="AD41" s="3">
        <v>5.625</v>
      </c>
      <c r="AE41" s="3">
        <v>10</v>
      </c>
      <c r="AF41" s="3">
        <v>10</v>
      </c>
      <c r="AG41" s="3">
        <v>7.875</v>
      </c>
      <c r="AH41" s="3">
        <v>4.375</v>
      </c>
      <c r="AI41" s="3">
        <v>1.625</v>
      </c>
      <c r="AJ41" s="3">
        <v>0.125</v>
      </c>
      <c r="AK41" s="22">
        <v>0</v>
      </c>
      <c r="AL41" s="116">
        <v>147</v>
      </c>
      <c r="AM41" s="22">
        <v>0</v>
      </c>
    </row>
    <row r="42" spans="3:50" ht="15.75" thickBot="1" x14ac:dyDescent="0.3">
      <c r="V42" s="133" t="s">
        <v>58</v>
      </c>
      <c r="W42" s="24">
        <v>0</v>
      </c>
      <c r="X42" s="25">
        <v>0</v>
      </c>
      <c r="Y42" s="25">
        <v>0</v>
      </c>
      <c r="Z42" s="26">
        <v>0</v>
      </c>
      <c r="AA42" s="24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6">
        <v>0</v>
      </c>
      <c r="AL42" s="76">
        <v>0</v>
      </c>
      <c r="AM42" s="26">
        <v>0</v>
      </c>
    </row>
    <row r="45" spans="3:50" ht="20.25" x14ac:dyDescent="0.3">
      <c r="C45" s="164" t="s">
        <v>131</v>
      </c>
      <c r="D45" s="164"/>
      <c r="E45" s="164"/>
      <c r="F45" s="164"/>
      <c r="G45" s="164"/>
      <c r="H45" s="164"/>
      <c r="I45" s="164"/>
    </row>
  </sheetData>
  <mergeCells count="7">
    <mergeCell ref="C45:I45"/>
    <mergeCell ref="AG1:AH1"/>
    <mergeCell ref="AI1:AJ1"/>
    <mergeCell ref="AA26:AF26"/>
    <mergeCell ref="V1:Y1"/>
    <mergeCell ref="Z1:AC1"/>
    <mergeCell ref="AD1:AF1"/>
  </mergeCells>
  <pageMargins left="0.7" right="0.7" top="0.75" bottom="0.75" header="0.3" footer="0.3"/>
  <pageSetup paperSize="9" orientation="portrait" r:id="rId1"/>
  <ignoredErrors>
    <ignoredError sqref="W4 W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F370-EEE6-4DE6-AF59-AB32CFF713BD}">
  <dimension ref="B3:AI28"/>
  <sheetViews>
    <sheetView tabSelected="1" topLeftCell="H1" zoomScale="110" zoomScaleNormal="110" workbookViewId="0">
      <selection activeCell="V14" sqref="V14"/>
    </sheetView>
  </sheetViews>
  <sheetFormatPr defaultRowHeight="15" x14ac:dyDescent="0.25"/>
  <sheetData>
    <row r="3" spans="2:35" ht="15.75" thickBot="1" x14ac:dyDescent="0.3"/>
    <row r="4" spans="2:35" ht="15.75" thickBot="1" x14ac:dyDescent="0.3">
      <c r="B4" s="120"/>
      <c r="C4" s="139"/>
      <c r="D4" s="140"/>
      <c r="E4" s="141"/>
      <c r="F4" s="142"/>
      <c r="G4" s="140"/>
      <c r="H4" s="140"/>
      <c r="I4" s="140"/>
      <c r="J4" s="140" t="s">
        <v>94</v>
      </c>
      <c r="K4" s="140"/>
      <c r="L4" s="140"/>
      <c r="M4" s="140"/>
      <c r="N4" s="140"/>
      <c r="O4" s="140"/>
      <c r="P4" s="140"/>
      <c r="Q4" s="140"/>
      <c r="R4" s="143"/>
      <c r="S4" s="170" t="s">
        <v>95</v>
      </c>
      <c r="T4" s="162"/>
      <c r="U4" s="20"/>
      <c r="V4" s="29"/>
      <c r="W4" s="18"/>
      <c r="X4" s="18" t="s">
        <v>13</v>
      </c>
      <c r="Y4" s="18"/>
      <c r="Z4" s="18"/>
      <c r="AA4" s="18"/>
      <c r="AB4" s="18"/>
      <c r="AC4" s="20"/>
    </row>
    <row r="5" spans="2:35" x14ac:dyDescent="0.25">
      <c r="B5" s="121"/>
      <c r="C5" s="29"/>
      <c r="D5" s="18" t="s">
        <v>60</v>
      </c>
      <c r="E5" s="20"/>
      <c r="F5" s="29" t="s">
        <v>65</v>
      </c>
      <c r="G5" s="18" t="s">
        <v>66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72</v>
      </c>
      <c r="N5" s="18" t="s">
        <v>73</v>
      </c>
      <c r="O5" s="18" t="s">
        <v>74</v>
      </c>
      <c r="P5" s="20" t="s">
        <v>75</v>
      </c>
      <c r="Q5" s="29" t="s">
        <v>76</v>
      </c>
      <c r="R5" s="20"/>
      <c r="S5" s="23" t="s">
        <v>96</v>
      </c>
      <c r="T5" s="3" t="s">
        <v>97</v>
      </c>
      <c r="U5" s="22" t="s">
        <v>98</v>
      </c>
      <c r="V5" s="23" t="s">
        <v>99</v>
      </c>
      <c r="W5" s="3" t="s">
        <v>100</v>
      </c>
      <c r="X5" s="3" t="s">
        <v>101</v>
      </c>
      <c r="Y5" s="3" t="s">
        <v>102</v>
      </c>
      <c r="Z5" s="3" t="s">
        <v>98</v>
      </c>
      <c r="AA5" s="3" t="s">
        <v>37</v>
      </c>
      <c r="AB5" s="3" t="s">
        <v>38</v>
      </c>
      <c r="AC5" s="22" t="s">
        <v>39</v>
      </c>
      <c r="AG5" s="161" t="s">
        <v>80</v>
      </c>
      <c r="AH5" s="165"/>
      <c r="AI5" s="171"/>
    </row>
    <row r="6" spans="2:35" x14ac:dyDescent="0.25">
      <c r="B6" s="121"/>
      <c r="C6" s="23" t="s">
        <v>59</v>
      </c>
      <c r="D6" s="3" t="s">
        <v>61</v>
      </c>
      <c r="E6" s="22" t="s">
        <v>62</v>
      </c>
      <c r="F6" s="23">
        <v>0</v>
      </c>
      <c r="G6" s="3">
        <f>0.1*Lpp</f>
        <v>15</v>
      </c>
      <c r="H6" s="3">
        <f>0.2*Lpp</f>
        <v>30</v>
      </c>
      <c r="I6" s="3">
        <f>0.3*Lpp</f>
        <v>45</v>
      </c>
      <c r="J6" s="3">
        <f>0.4*Lpp</f>
        <v>60</v>
      </c>
      <c r="K6" s="3">
        <f>0.5*Lpp</f>
        <v>75</v>
      </c>
      <c r="L6" s="3">
        <f>0.6*Lpp</f>
        <v>90</v>
      </c>
      <c r="M6" s="3">
        <f>0.7*Lpp</f>
        <v>105</v>
      </c>
      <c r="N6" s="3">
        <f>0.8*Lpp</f>
        <v>120</v>
      </c>
      <c r="O6" s="3">
        <f>0.9*Lpp</f>
        <v>135</v>
      </c>
      <c r="P6" s="22">
        <f>Lpp</f>
        <v>150</v>
      </c>
      <c r="Q6" s="23" t="s">
        <v>61</v>
      </c>
      <c r="R6" s="22" t="s">
        <v>62</v>
      </c>
      <c r="S6" s="23" t="s">
        <v>103</v>
      </c>
      <c r="T6" s="3" t="s">
        <v>104</v>
      </c>
      <c r="U6" s="22" t="s">
        <v>104</v>
      </c>
      <c r="V6" s="23" t="s">
        <v>105</v>
      </c>
      <c r="W6" s="3" t="s">
        <v>106</v>
      </c>
      <c r="X6" s="3" t="s">
        <v>106</v>
      </c>
      <c r="Y6" s="3" t="s">
        <v>106</v>
      </c>
      <c r="Z6" s="3" t="s">
        <v>104</v>
      </c>
      <c r="AA6" s="3" t="s">
        <v>107</v>
      </c>
      <c r="AB6" s="3" t="s">
        <v>107</v>
      </c>
      <c r="AC6" s="22" t="s">
        <v>107</v>
      </c>
      <c r="AG6" s="23"/>
      <c r="AH6" s="3" t="s">
        <v>61</v>
      </c>
      <c r="AI6" s="22" t="s">
        <v>125</v>
      </c>
    </row>
    <row r="7" spans="2:35" x14ac:dyDescent="0.25">
      <c r="B7" s="121" t="s">
        <v>46</v>
      </c>
      <c r="C7" s="23">
        <f>1*(D-T)+T</f>
        <v>14</v>
      </c>
      <c r="D7" s="3">
        <f>Lines!X30</f>
        <v>-6</v>
      </c>
      <c r="E7" s="22">
        <f>Lines!Y30</f>
        <v>11.875</v>
      </c>
      <c r="F7" s="23">
        <f>Lines!AA30</f>
        <v>12.375</v>
      </c>
      <c r="G7" s="3">
        <f>Lines!AB30</f>
        <v>12.5</v>
      </c>
      <c r="H7" s="3">
        <f>Lines!AC30</f>
        <v>12.5</v>
      </c>
      <c r="I7" s="3">
        <f>Lines!AD30</f>
        <v>12.5</v>
      </c>
      <c r="J7" s="3">
        <f>Lines!AE30</f>
        <v>12.5</v>
      </c>
      <c r="K7" s="3">
        <f>Lines!AF30</f>
        <v>12.5</v>
      </c>
      <c r="L7" s="3">
        <f>Lines!AG30</f>
        <v>12.5</v>
      </c>
      <c r="M7" s="3">
        <f>Lines!AH30</f>
        <v>12.5</v>
      </c>
      <c r="N7" s="3">
        <f>Lines!AI30</f>
        <v>12.5</v>
      </c>
      <c r="O7" s="3">
        <f>Lines!AJ30</f>
        <v>11.125</v>
      </c>
      <c r="P7" s="22">
        <f>Lines!AK30</f>
        <v>6.25</v>
      </c>
      <c r="Q7" s="23">
        <f>Lines!AL30</f>
        <v>154.5</v>
      </c>
      <c r="R7" s="22">
        <f>Lines!AM30</f>
        <v>2.5</v>
      </c>
      <c r="S7" s="23">
        <f>-$D7*($F7+$E7)+2/3*Lpp/10*(1*$F7+4*$G7+2*$H7+4*$I7+2*$J7+4*$K7+2*$L7+4*$M7+2*$N7+4*$O7+1*$P7)+($Q7-Lpp)*($P7+$R7)</f>
        <v>3816.125</v>
      </c>
      <c r="T7" s="84">
        <f>(-0.5*(-$D7)*($F7+$E7)+2/3*Lpp/10*(-0.5*1*$F7-0.4*4*$G7-0.3*2*$H7-0.2*4*$I7-0.1*2*$J7+0*4*$K7+0.1*2*$L7+0.2*4*$M7+0.3*2*$N7+0.4*4*$O7+0.5*1*$P7)+0.5*($Q7-Lpp)*($P7+$R7))/S7</f>
        <v>-2.769497854499001E-2</v>
      </c>
      <c r="U7" s="22"/>
      <c r="V7" s="23"/>
      <c r="W7" s="3">
        <f>W11+(D-T)/12*(1*S11+4*S10+2*S9+4*S8+1*S7)</f>
        <v>43760.146145833329</v>
      </c>
      <c r="X7" s="3"/>
      <c r="Y7" s="3"/>
      <c r="Z7" s="3"/>
      <c r="AA7" s="3"/>
      <c r="AB7" s="3"/>
      <c r="AC7" s="22"/>
      <c r="AG7" s="23" t="s">
        <v>65</v>
      </c>
      <c r="AH7" s="3">
        <v>0</v>
      </c>
      <c r="AI7" s="22">
        <v>0</v>
      </c>
    </row>
    <row r="8" spans="2:35" x14ac:dyDescent="0.25">
      <c r="B8" s="121" t="s">
        <v>47</v>
      </c>
      <c r="C8" s="23">
        <f>0.75*(D-T)+T</f>
        <v>11.875</v>
      </c>
      <c r="D8" s="3">
        <f>Lines!X31</f>
        <v>-5.7</v>
      </c>
      <c r="E8" s="22">
        <f>Lines!Y31</f>
        <v>11.75</v>
      </c>
      <c r="F8" s="23">
        <f>Lines!AA31</f>
        <v>12.3375</v>
      </c>
      <c r="G8" s="3">
        <f>Lines!AB31</f>
        <v>12.5</v>
      </c>
      <c r="H8" s="3">
        <f>Lines!AC31</f>
        <v>12.5</v>
      </c>
      <c r="I8" s="3">
        <f>Lines!AD31</f>
        <v>12.5</v>
      </c>
      <c r="J8" s="3">
        <f>Lines!AE31</f>
        <v>12.5</v>
      </c>
      <c r="K8" s="3">
        <f>Lines!AF31</f>
        <v>12.5</v>
      </c>
      <c r="L8" s="3">
        <f>Lines!AG31</f>
        <v>12.5</v>
      </c>
      <c r="M8" s="3">
        <f>Lines!AH31</f>
        <v>12.5</v>
      </c>
      <c r="N8" s="3">
        <f>Lines!AI31</f>
        <v>12.375</v>
      </c>
      <c r="O8" s="3">
        <f>Lines!AJ31</f>
        <v>10.25</v>
      </c>
      <c r="P8" s="22">
        <f>Lines!AK31</f>
        <v>4.375</v>
      </c>
      <c r="Q8" s="23">
        <f>Lines!AL31</f>
        <v>153.30000000000001</v>
      </c>
      <c r="R8" s="22">
        <f>Lines!AM31</f>
        <v>1.5</v>
      </c>
      <c r="S8" s="23">
        <f>-$D8*($F8+$E8)+2/3*Lpp/10*(1*$F8+4*$G8+2*$H8+4*$I8+2*$J8+4*$K8+2*$L8+4*$M8+2*$N8+4*$O8+1*$P8)+($Q8-Lpp)*($P8+$R8)</f>
        <v>3731.3112500000002</v>
      </c>
      <c r="T8" s="84">
        <f>(-0.5*(-$D8)*($F8+$E8)+2/3*Lpp/10*(-0.5*1*$F8-0.4*4*$G8-0.3*2*$H8-0.2*4*$I8-0.1*2*$J8+0*4*$K8+0.1*2*$L8+0.2*4*$M8+0.3*2*$N8+0.4*4*$O8+0.5*1*$P8)+0.5*($Q8-Lpp)*($P8+$R8))/S8</f>
        <v>-3.6319169300068434E-2</v>
      </c>
      <c r="U8" s="22"/>
      <c r="V8" s="23"/>
      <c r="W8" s="3"/>
      <c r="X8" s="3"/>
      <c r="Y8" s="3"/>
      <c r="Z8" s="3"/>
      <c r="AA8" s="3"/>
      <c r="AB8" s="3"/>
      <c r="AC8" s="22"/>
      <c r="AG8" s="23"/>
      <c r="AH8" s="3">
        <v>0</v>
      </c>
      <c r="AI8" s="22">
        <f>1.05*Am</f>
        <v>141.63187500000001</v>
      </c>
    </row>
    <row r="9" spans="2:35" x14ac:dyDescent="0.25">
      <c r="B9" s="121" t="s">
        <v>48</v>
      </c>
      <c r="C9" s="23">
        <f>0.5*(D-T)+T</f>
        <v>9.75</v>
      </c>
      <c r="D9" s="3">
        <f>Lines!X32</f>
        <v>-5.2500000000000009</v>
      </c>
      <c r="E9" s="22">
        <f>Lines!Y32</f>
        <v>11.375</v>
      </c>
      <c r="F9" s="23">
        <f>Lines!AA32</f>
        <v>12</v>
      </c>
      <c r="G9" s="3">
        <f>Lines!AB32</f>
        <v>12.5</v>
      </c>
      <c r="H9" s="3">
        <f>Lines!AC32</f>
        <v>12.5</v>
      </c>
      <c r="I9" s="3">
        <f>Lines!AD32</f>
        <v>12.5</v>
      </c>
      <c r="J9" s="3">
        <f>Lines!AE32</f>
        <v>12.5</v>
      </c>
      <c r="K9" s="3">
        <f>Lines!AF32</f>
        <v>12.5</v>
      </c>
      <c r="L9" s="3">
        <f>Lines!AG32</f>
        <v>12.5</v>
      </c>
      <c r="M9" s="3">
        <f>Lines!AH32</f>
        <v>12.5</v>
      </c>
      <c r="N9" s="3">
        <f>Lines!AI32</f>
        <v>12</v>
      </c>
      <c r="O9" s="3">
        <f>Lines!AJ32</f>
        <v>9.25</v>
      </c>
      <c r="P9" s="22">
        <f>Lines!AK32</f>
        <v>2.5</v>
      </c>
      <c r="Q9" s="23">
        <f>Lines!AL32</f>
        <v>151.94999999999999</v>
      </c>
      <c r="R9" s="22">
        <f>Lines!AM32</f>
        <v>0.75</v>
      </c>
      <c r="S9" s="23">
        <f>-$D9*($F9+$E9)+2/3*Lpp/10*(1*$F9+4*$G9+2*$H9+4*$I9+2*$J9+4*$K9+2*$L9+4*$M9+2*$N9+4*$O9+1*$P9)+($Q9-Lpp)*($P9+$R9)</f>
        <v>3634.0562500000001</v>
      </c>
      <c r="T9" s="84">
        <f>(-0.5*(-$D9)*($F9+$E9)+2/3*Lpp/10*(-0.5*1*$F9-0.4*4*$G9-0.3*2*$H9-0.2*4*$I9-0.1*2*$J9+0*4*$K9+0.1*2*$L9+0.2*4*$M9+0.3*2*$N9+0.4*4*$O9+0.5*1*$P9)+0.5*($Q9-Lpp)*($P9+$R9))/S9</f>
        <v>-4.4217979564845758E-2</v>
      </c>
      <c r="U9" s="22"/>
      <c r="V9" s="23"/>
      <c r="W9" s="3"/>
      <c r="X9" s="3"/>
      <c r="Y9" s="3"/>
      <c r="Z9" s="3"/>
      <c r="AA9" s="3"/>
      <c r="AB9" s="3"/>
      <c r="AC9" s="22"/>
      <c r="AG9" s="23" t="s">
        <v>66</v>
      </c>
      <c r="AH9" s="3">
        <f>0.1*Lpp</f>
        <v>15</v>
      </c>
      <c r="AI9" s="22">
        <v>0</v>
      </c>
    </row>
    <row r="10" spans="2:35" x14ac:dyDescent="0.25">
      <c r="B10" s="121" t="s">
        <v>49</v>
      </c>
      <c r="C10" s="23">
        <f>0.25*(D-T)+T</f>
        <v>7.625</v>
      </c>
      <c r="D10" s="3">
        <f>Lines!X33</f>
        <v>-4.5</v>
      </c>
      <c r="E10" s="22">
        <f>Lines!Y33</f>
        <v>9.375</v>
      </c>
      <c r="F10" s="23">
        <f>Lines!AA33</f>
        <v>10.5</v>
      </c>
      <c r="G10" s="3">
        <f>Lines!AB33</f>
        <v>12.125</v>
      </c>
      <c r="H10" s="3">
        <f>Lines!AC33</f>
        <v>12.5</v>
      </c>
      <c r="I10" s="3">
        <f>Lines!AD33</f>
        <v>12.5</v>
      </c>
      <c r="J10" s="3">
        <f>Lines!AE33</f>
        <v>12.5</v>
      </c>
      <c r="K10" s="3">
        <f>Lines!AF33</f>
        <v>12.5</v>
      </c>
      <c r="L10" s="3">
        <f>Lines!AG33</f>
        <v>12.5</v>
      </c>
      <c r="M10" s="3">
        <f>Lines!AH33</f>
        <v>12.5</v>
      </c>
      <c r="N10" s="3">
        <f>Lines!AI33</f>
        <v>11.25</v>
      </c>
      <c r="O10" s="3">
        <f>Lines!AJ33</f>
        <v>7.875</v>
      </c>
      <c r="P10" s="22">
        <f>Lines!AK33</f>
        <v>1</v>
      </c>
      <c r="Q10" s="23">
        <f>Lines!AL33</f>
        <v>150.9</v>
      </c>
      <c r="R10" s="22">
        <f>Lines!AM33</f>
        <v>0.25</v>
      </c>
      <c r="S10" s="23">
        <f>-$D10*($F10+$E10)+2/3*Lpp/10*(1*$F10+4*$G10+2*$H10+4*$I10+2*$J10+4*$K10+2*$L10+4*$M10+2*$N10+4*$O10+1*$P10)+($Q10-Lpp)*($P10+$R10)</f>
        <v>3480.5625</v>
      </c>
      <c r="T10" s="84">
        <f>(-0.5*(-$D10)*($F10+$E10)+2/3*Lpp/10*(-0.5*1*$F10-0.4*4*$G10-0.3*2*$H10-0.2*4*$I10-0.1*2*$J10+0*4*$K10+0.1*2*$L10+0.2*4*$M10+0.3*2*$N10+0.4*4*$O10+0.5*1*$P10)+0.5*($Q10-Lpp)*($P10+$R10))/S10</f>
        <v>-4.8025642406938553E-2</v>
      </c>
      <c r="U10" s="22"/>
      <c r="V10" s="23"/>
      <c r="W10" s="3"/>
      <c r="X10" s="3"/>
      <c r="Y10" s="3"/>
      <c r="Z10" s="3"/>
      <c r="AA10" s="3"/>
      <c r="AB10" s="3"/>
      <c r="AC10" s="22"/>
      <c r="AG10" s="23"/>
      <c r="AH10" s="3">
        <f>0.1*Lpp</f>
        <v>15</v>
      </c>
      <c r="AI10" s="22">
        <f>1.05*Am</f>
        <v>141.63187500000001</v>
      </c>
    </row>
    <row r="11" spans="2:35" ht="15.75" thickBot="1" x14ac:dyDescent="0.3">
      <c r="B11" s="147" t="s">
        <v>50</v>
      </c>
      <c r="C11" s="148">
        <f>T</f>
        <v>5.5</v>
      </c>
      <c r="D11" s="149">
        <f>Lines!X34</f>
        <v>-3.75</v>
      </c>
      <c r="E11" s="150">
        <f>Lines!Y34</f>
        <v>0</v>
      </c>
      <c r="F11" s="148">
        <f>Lines!AA34</f>
        <v>5</v>
      </c>
      <c r="G11" s="149">
        <f>Lines!AB34</f>
        <v>10.875</v>
      </c>
      <c r="H11" s="149">
        <f>Lines!AC34</f>
        <v>12.3125</v>
      </c>
      <c r="I11" s="149">
        <f>Lines!AD34</f>
        <v>12.5</v>
      </c>
      <c r="J11" s="149">
        <f>Lines!AE34</f>
        <v>12.5</v>
      </c>
      <c r="K11" s="149">
        <f>Lines!AF34</f>
        <v>12.5</v>
      </c>
      <c r="L11" s="149">
        <f>Lines!AG34</f>
        <v>12.5</v>
      </c>
      <c r="M11" s="149">
        <f>Lines!AH34</f>
        <v>12.25</v>
      </c>
      <c r="N11" s="149">
        <f>Lines!AI34</f>
        <v>10.25</v>
      </c>
      <c r="O11" s="149">
        <f>Lines!AJ34</f>
        <v>6.125</v>
      </c>
      <c r="P11" s="150">
        <f>Lines!AK34</f>
        <v>0</v>
      </c>
      <c r="Q11" s="148">
        <f>Lines!AL34</f>
        <v>150</v>
      </c>
      <c r="R11" s="150">
        <f>Lines!AM34</f>
        <v>0</v>
      </c>
      <c r="S11" s="148">
        <f>-$D11*($F11+$E11)+2/3*Lpp/10*(1*$F11+4*$G11+2*$H11+4*$I11+2*$J11+4*$K11+2*$L11+4*$M11+2*$N11+4*$O11+1*$P11)+($Q11-Lpp)*($P11+$R11)</f>
        <v>3190</v>
      </c>
      <c r="T11" s="151">
        <f>(-0.5*(-$D11)*($F11+$E11)+2/3*Lpp/10*(-0.5*1*$F11-0.4*4*$G11-0.3*2*$H11-0.2*4*$I11-0.1*2*$J11+0*4*$K11+0.1*2*$L11+0.2*4*$M11+0.3*2*$N11+0.4*4*$O11+0.5*1*$P11)+0.5*($Q11-Lpp)*($P11+$R11))/S11</f>
        <v>-3.9106583072100319E-2</v>
      </c>
      <c r="U11" s="152">
        <f>T/15*(0.5*T17*S17+2*T16*S16+1.5*T15*S15+4*T14*S14+2*T13*S13+4*T12*S12+1*T11*S11)/W11</f>
        <v>-3.5700035426920406E-3</v>
      </c>
      <c r="V11" s="153">
        <f>-$D11/12*($F11+$E11)^3+2/9*Lpp/10*(1*$F11^3+4*$G11^3+2*$H11^3+4*$I11^3+2*$J11^3+4*$K11^3+2*$L11^3+4*$M11^3+2*$N11^3+4*$O11^3+1*$P11^3)</f>
        <v>142926.14095052081</v>
      </c>
      <c r="W11" s="154">
        <f>T/15*(0.5*S17+2*S16+1.5*S15+4*S14+2*S13+4*S12+1*S11)</f>
        <v>13215.585624999998</v>
      </c>
      <c r="X11" s="154">
        <f>Lines!AO6</f>
        <v>79.282499999999999</v>
      </c>
      <c r="Y11" s="154">
        <f>W11+X11</f>
        <v>13294.868124999997</v>
      </c>
      <c r="Z11" s="154">
        <f>(W11*U11-X11*(0.5*Lpp-(Lines!Z35)/2)/Lpp)/Y11</f>
        <v>-6.4111420059685632E-3</v>
      </c>
      <c r="AA11" s="154">
        <f>T/15*(0*0.5*S17+0.1*2*S16+0.2*1.5*S15+0.4*4*S14+0.6*2*S13+0.8*4*S12+1*1*S11)*T/Y11</f>
        <v>3.0664156926340329</v>
      </c>
      <c r="AB11" s="154">
        <f>V11/Y11</f>
        <v>10.750474514430044</v>
      </c>
      <c r="AC11" s="155">
        <f>AA11+AB11</f>
        <v>13.816890207064077</v>
      </c>
      <c r="AG11" s="23" t="s">
        <v>67</v>
      </c>
      <c r="AH11" s="3">
        <f>0.2*Lpp</f>
        <v>30</v>
      </c>
      <c r="AI11" s="22">
        <v>0</v>
      </c>
    </row>
    <row r="12" spans="2:35" x14ac:dyDescent="0.25">
      <c r="B12" s="121" t="s">
        <v>51</v>
      </c>
      <c r="C12" s="23">
        <f>0.8*T</f>
        <v>4.4000000000000004</v>
      </c>
      <c r="D12" s="3">
        <f>Lines!X35</f>
        <v>4.8</v>
      </c>
      <c r="E12" s="22">
        <f>IF(Lines!Y35&lt;0,0,Lines!Y35)</f>
        <v>0</v>
      </c>
      <c r="F12" s="23">
        <f>IF(Lines!AA35&lt;0,0,Lines!AA35)</f>
        <v>0</v>
      </c>
      <c r="G12" s="3">
        <f>IF(Lines!AB35&lt;0,0,Lines!AB35)</f>
        <v>8.125</v>
      </c>
      <c r="H12" s="3">
        <f>IF(Lines!AC35&lt;0,0,Lines!AC35)</f>
        <v>11.625</v>
      </c>
      <c r="I12" s="3">
        <f>IF(Lines!AD35&lt;0,0,Lines!AD35)</f>
        <v>12.4625</v>
      </c>
      <c r="J12" s="3">
        <f>IF(Lines!AE35&lt;0,0,Lines!AE35)</f>
        <v>12.5</v>
      </c>
      <c r="K12" s="3">
        <f>IF(Lines!AF35&lt;0,0,Lines!AF35)</f>
        <v>12.5</v>
      </c>
      <c r="L12" s="3">
        <f>IF(Lines!AG35&lt;0,0,Lines!AG35)</f>
        <v>12.5</v>
      </c>
      <c r="M12" s="3">
        <f>IF(Lines!AH35&lt;0,0,Lines!AH35)</f>
        <v>11.875</v>
      </c>
      <c r="N12" s="3">
        <f>IF(Lines!AI35&lt;0,0,Lines!AI35)</f>
        <v>9.5</v>
      </c>
      <c r="O12" s="3">
        <f>IF(Lines!AJ35&lt;0,0,Lines!AJ35)</f>
        <v>5.125</v>
      </c>
      <c r="P12" s="22">
        <f>IF(Lines!AK35&lt;0,0,Lines!AK35)</f>
        <v>0.125</v>
      </c>
      <c r="Q12" s="23">
        <f>IF(Lines!AL35&lt;0,0,Lines!AL35)</f>
        <v>150</v>
      </c>
      <c r="R12" s="22">
        <f>IF(Lines!AM35&lt;0,0,Lines!AM35)</f>
        <v>0</v>
      </c>
      <c r="S12" s="23">
        <f t="shared" ref="S12:S17" si="0">2/3*Lpp/10*(1*$F12+4*$G12+2*$H12+4*$I12+2*$J12+4*$K12+2*$L12+4*$M12+2*$N12+4*$O12+1*$P12)+($Q12-Lpp)*($P12+$R12)</f>
        <v>2927.25</v>
      </c>
      <c r="T12" s="84">
        <f t="shared" ref="T12:T17" si="1">(2/3*Lpp/10*(-0.5*1*$F12-0.4*4*$G12-0.3*2*$H12-0.2*4*$I12-0.1*2*$J12+0*4*$K12+0.1*2*$L12+0.2*4*$M12+0.3*2*$N12+0.4*4*$O12+0.5*1*$P12)+0.5*($Q12-Lpp)*($P12+$R12))/S12</f>
        <v>-2.2145358271415151E-2</v>
      </c>
      <c r="U12" s="22"/>
      <c r="AG12" s="23"/>
      <c r="AH12" s="3">
        <f>0.2*Lpp</f>
        <v>30</v>
      </c>
      <c r="AI12" s="22">
        <f>1.05*Am</f>
        <v>141.63187500000001</v>
      </c>
    </row>
    <row r="13" spans="2:35" x14ac:dyDescent="0.25">
      <c r="B13" s="121" t="s">
        <v>52</v>
      </c>
      <c r="C13" s="23">
        <f>0.6*T</f>
        <v>3.3</v>
      </c>
      <c r="D13" s="3">
        <f>Lines!X36</f>
        <v>5.7</v>
      </c>
      <c r="E13" s="22">
        <f>IF(Lines!Y36&lt;0,0,Lines!Y36)</f>
        <v>0</v>
      </c>
      <c r="F13" s="23">
        <f>IF(Lines!AA36&lt;0,0,Lines!AA36)</f>
        <v>0</v>
      </c>
      <c r="G13" s="3">
        <f>IF(Lines!AB36&lt;0,0,Lines!AB36)</f>
        <v>2.5</v>
      </c>
      <c r="H13" s="3">
        <f>IF(Lines!AC36&lt;0,0,Lines!AC36)</f>
        <v>10</v>
      </c>
      <c r="I13" s="3">
        <f>IF(Lines!AD36&lt;0,0,Lines!AD36)</f>
        <v>12.25</v>
      </c>
      <c r="J13" s="3">
        <f>IF(Lines!AE36&lt;0,0,Lines!AE36)</f>
        <v>12.5</v>
      </c>
      <c r="K13" s="3">
        <f>IF(Lines!AF36&lt;0,0,Lines!AF36)</f>
        <v>12.5</v>
      </c>
      <c r="L13" s="3">
        <f>IF(Lines!AG36&lt;0,0,Lines!AG36)</f>
        <v>12.375</v>
      </c>
      <c r="M13" s="3">
        <f>IF(Lines!AH36&lt;0,0,Lines!AH36)</f>
        <v>11.25</v>
      </c>
      <c r="N13" s="3">
        <f>IF(Lines!AI36&lt;0,0,Lines!AI36)</f>
        <v>8.375</v>
      </c>
      <c r="O13" s="3">
        <f>IF(Lines!AJ36&lt;0,0,Lines!AJ36)</f>
        <v>4.125</v>
      </c>
      <c r="P13" s="22">
        <f>IF(Lines!AK36&lt;0,0,Lines!AK36)</f>
        <v>0.75</v>
      </c>
      <c r="Q13" s="23">
        <f>IF(Lines!AL36&lt;0,0,Lines!AL36)</f>
        <v>151.19999999999999</v>
      </c>
      <c r="R13" s="22">
        <f>IF(Lines!AM36&lt;0,0,Lines!AM36)</f>
        <v>0.5</v>
      </c>
      <c r="S13" s="23">
        <f t="shared" si="0"/>
        <v>2579</v>
      </c>
      <c r="T13" s="84">
        <f t="shared" si="1"/>
        <v>4.8468398604110119E-3</v>
      </c>
      <c r="U13" s="22"/>
      <c r="AG13" s="23" t="s">
        <v>68</v>
      </c>
      <c r="AH13" s="3">
        <f>0.3*Lpp</f>
        <v>45</v>
      </c>
      <c r="AI13" s="22">
        <v>0</v>
      </c>
    </row>
    <row r="14" spans="2:35" x14ac:dyDescent="0.25">
      <c r="B14" s="121" t="s">
        <v>53</v>
      </c>
      <c r="C14" s="23">
        <f>0.4*T</f>
        <v>2.2000000000000002</v>
      </c>
      <c r="D14" s="3">
        <f>Lines!X37</f>
        <v>6</v>
      </c>
      <c r="E14" s="22">
        <f>IF(Lines!Y37&lt;0,0,Lines!Y37)</f>
        <v>0</v>
      </c>
      <c r="F14" s="23">
        <f>IF(Lines!AA37&lt;0,0,Lines!AA37)</f>
        <v>0</v>
      </c>
      <c r="G14" s="3">
        <f>IF(Lines!AB37&lt;0,0,Lines!AB37)</f>
        <v>0</v>
      </c>
      <c r="H14" s="3">
        <f>IF(Lines!AC37&lt;0,0,Lines!AC37)</f>
        <v>7.2499999999999991</v>
      </c>
      <c r="I14" s="3">
        <f>IF(Lines!AD37&lt;0,0,Lines!AD37)</f>
        <v>11.625</v>
      </c>
      <c r="J14" s="3">
        <f>IF(Lines!AE37&lt;0,0,Lines!AE37)</f>
        <v>12.4375</v>
      </c>
      <c r="K14" s="3">
        <f>IF(Lines!AF37&lt;0,0,Lines!AF37)</f>
        <v>12.4375</v>
      </c>
      <c r="L14" s="3">
        <f>IF(Lines!AG37&lt;0,0,Lines!AG37)</f>
        <v>12</v>
      </c>
      <c r="M14" s="3">
        <f>IF(Lines!AH37&lt;0,0,Lines!AH37)</f>
        <v>10.25</v>
      </c>
      <c r="N14" s="3">
        <f>IF(Lines!AI37&lt;0,0,Lines!AI37)</f>
        <v>7.0000000000000009</v>
      </c>
      <c r="O14" s="3">
        <f>IF(Lines!AJ37&lt;0,0,Lines!AJ37)</f>
        <v>3</v>
      </c>
      <c r="P14" s="22">
        <f>IF(Lines!AK37&lt;0,0,Lines!AK37)</f>
        <v>0.87500000000000011</v>
      </c>
      <c r="Q14" s="23">
        <f>IF(Lines!AL37&lt;0,0,Lines!AL37)</f>
        <v>152.24999999999997</v>
      </c>
      <c r="R14" s="22">
        <f>IF(Lines!AM37&lt;0,0,Lines!AM37)</f>
        <v>0.625</v>
      </c>
      <c r="S14" s="23">
        <f t="shared" si="0"/>
        <v>2278.375</v>
      </c>
      <c r="T14" s="84">
        <f t="shared" si="1"/>
        <v>1.7858122565424923E-2</v>
      </c>
      <c r="U14" s="22"/>
      <c r="AG14" s="23"/>
      <c r="AH14" s="3">
        <f>0.3*Lpp</f>
        <v>45</v>
      </c>
      <c r="AI14" s="22">
        <f>1.05*Am</f>
        <v>141.63187500000001</v>
      </c>
    </row>
    <row r="15" spans="2:35" x14ac:dyDescent="0.25">
      <c r="B15" s="121" t="s">
        <v>54</v>
      </c>
      <c r="C15" s="23">
        <f>0.2*T</f>
        <v>1.1000000000000001</v>
      </c>
      <c r="D15" s="3">
        <f>Lines!X38</f>
        <v>6</v>
      </c>
      <c r="E15" s="22">
        <f>IF(Lines!Y38&lt;0,0,Lines!Y38)</f>
        <v>0</v>
      </c>
      <c r="F15" s="23">
        <f>IF(Lines!AA38&lt;0,0,Lines!AA38)</f>
        <v>0</v>
      </c>
      <c r="G15" s="3">
        <f>IF(Lines!AB38&lt;0,0,Lines!AB38)</f>
        <v>0</v>
      </c>
      <c r="H15" s="3">
        <f>IF(Lines!AC38&lt;0,0,Lines!AC38)</f>
        <v>4.125</v>
      </c>
      <c r="I15" s="3">
        <f>IF(Lines!AD38&lt;0,0,Lines!AD38)</f>
        <v>10</v>
      </c>
      <c r="J15" s="3">
        <f>IF(Lines!AE38&lt;0,0,Lines!AE38)</f>
        <v>12.125</v>
      </c>
      <c r="K15" s="3">
        <f>IF(Lines!AF38&lt;0,0,Lines!AF38)</f>
        <v>12.125</v>
      </c>
      <c r="L15" s="3">
        <f>IF(Lines!AG38&lt;0,0,Lines!AG38)</f>
        <v>11</v>
      </c>
      <c r="M15" s="3">
        <f>IF(Lines!AH38&lt;0,0,Lines!AH38)</f>
        <v>8.625</v>
      </c>
      <c r="N15" s="3">
        <f>IF(Lines!AI38&lt;0,0,Lines!AI38)</f>
        <v>5</v>
      </c>
      <c r="O15" s="3">
        <f>IF(Lines!AJ38&lt;0,0,Lines!AJ38)</f>
        <v>1.7500000000000002</v>
      </c>
      <c r="P15" s="22">
        <f>IF(Lines!AK38&lt;0,0,Lines!AK38)</f>
        <v>0.75</v>
      </c>
      <c r="Q15" s="23">
        <f>IF(Lines!AL38&lt;0,0,Lines!AL38)</f>
        <v>152.24999999999997</v>
      </c>
      <c r="R15" s="22">
        <f>IF(Lines!AM38&lt;0,0,Lines!AM38)</f>
        <v>0.5</v>
      </c>
      <c r="S15" s="23">
        <f t="shared" si="0"/>
        <v>1955.3125</v>
      </c>
      <c r="T15" s="84">
        <f t="shared" si="1"/>
        <v>1.2865590538596771E-2</v>
      </c>
      <c r="U15" s="22"/>
      <c r="AG15" s="23" t="s">
        <v>69</v>
      </c>
      <c r="AH15" s="3">
        <f>0.4*Lpp</f>
        <v>60</v>
      </c>
      <c r="AI15" s="22">
        <v>0</v>
      </c>
    </row>
    <row r="16" spans="2:35" x14ac:dyDescent="0.25">
      <c r="B16" s="121" t="s">
        <v>55</v>
      </c>
      <c r="C16" s="23">
        <f>0.1*T</f>
        <v>0.55000000000000004</v>
      </c>
      <c r="D16" s="3">
        <f>Lines!X39</f>
        <v>6</v>
      </c>
      <c r="E16" s="22">
        <f>IF(Lines!Y39&lt;0,0,Lines!Y39)</f>
        <v>0</v>
      </c>
      <c r="F16" s="23">
        <f>IF(Lines!AA39&lt;0,0,Lines!AA39)</f>
        <v>0</v>
      </c>
      <c r="G16" s="3">
        <f>IF(Lines!AB39&lt;0,0,Lines!AB39)</f>
        <v>0</v>
      </c>
      <c r="H16" s="3">
        <f>IF(Lines!AC39&lt;0,0,Lines!AC39)</f>
        <v>1.625</v>
      </c>
      <c r="I16" s="3">
        <f>IF(Lines!AD39&lt;0,0,Lines!AD39)</f>
        <v>8.375</v>
      </c>
      <c r="J16" s="3">
        <f>IF(Lines!AE39&lt;0,0,Lines!AE39)</f>
        <v>11.625</v>
      </c>
      <c r="K16" s="3">
        <f>IF(Lines!AF39&lt;0,0,Lines!AF39)</f>
        <v>11.625</v>
      </c>
      <c r="L16" s="3">
        <f>IF(Lines!AG39&lt;0,0,Lines!AG39)</f>
        <v>10</v>
      </c>
      <c r="M16" s="3">
        <f>IF(Lines!AH39&lt;0,0,Lines!AH39)</f>
        <v>6.8750000000000009</v>
      </c>
      <c r="N16" s="3">
        <f>IF(Lines!AI39&lt;0,0,Lines!AI39)</f>
        <v>3.5000000000000004</v>
      </c>
      <c r="O16" s="3">
        <f>IF(Lines!AJ39&lt;0,0,Lines!AJ39)</f>
        <v>1</v>
      </c>
      <c r="P16" s="22">
        <f>IF(Lines!AK39&lt;0,0,Lines!AK39)</f>
        <v>0.5</v>
      </c>
      <c r="Q16" s="23">
        <f>IF(Lines!AL39&lt;0,0,Lines!AL39)</f>
        <v>151.94999999999999</v>
      </c>
      <c r="R16" s="22">
        <f>IF(Lines!AM39&lt;0,0,Lines!AM39)</f>
        <v>0.375</v>
      </c>
      <c r="S16" s="23">
        <f t="shared" si="0"/>
        <v>1656.70625</v>
      </c>
      <c r="T16" s="84">
        <f t="shared" si="1"/>
        <v>9.2672584533317268E-3</v>
      </c>
      <c r="U16" s="22"/>
      <c r="AG16" s="23"/>
      <c r="AH16" s="3">
        <f>0.4*Lpp</f>
        <v>60</v>
      </c>
      <c r="AI16" s="22">
        <f>1.05*Am</f>
        <v>141.63187500000001</v>
      </c>
    </row>
    <row r="17" spans="2:35" ht="15.75" thickBot="1" x14ac:dyDescent="0.3">
      <c r="B17" s="133" t="s">
        <v>57</v>
      </c>
      <c r="C17" s="24">
        <v>0</v>
      </c>
      <c r="D17" s="25">
        <f>Lines!X40</f>
        <v>6</v>
      </c>
      <c r="E17" s="26">
        <f>IF(Lines!Y40&lt;0,0,Lines!Y40)</f>
        <v>0</v>
      </c>
      <c r="F17" s="24">
        <f>IF(Lines!AA40&lt;0,0,Lines!AA40)</f>
        <v>0</v>
      </c>
      <c r="G17" s="25">
        <f>IF(Lines!AB40&lt;0,0,Lines!AB40)</f>
        <v>0</v>
      </c>
      <c r="H17" s="25">
        <f>IF(Lines!AC40&lt;0,0,Lines!AC40)</f>
        <v>0</v>
      </c>
      <c r="I17" s="25">
        <f>IF(Lines!AD40&lt;0,0,Lines!AD40)</f>
        <v>5.875</v>
      </c>
      <c r="J17" s="25">
        <f>IF(Lines!AE40&lt;0,0,Lines!AE40)</f>
        <v>10.5</v>
      </c>
      <c r="K17" s="25">
        <f>IF(Lines!AF40&lt;0,0,Lines!AF40)</f>
        <v>10.5</v>
      </c>
      <c r="L17" s="25">
        <f>IF(Lines!AG40&lt;0,0,Lines!AG40)</f>
        <v>8.125</v>
      </c>
      <c r="M17" s="25">
        <f>IF(Lines!AH40&lt;0,0,Lines!AH40)</f>
        <v>4.5</v>
      </c>
      <c r="N17" s="25">
        <f>IF(Lines!AI40&lt;0,0,Lines!AI40)</f>
        <v>1.7500000000000002</v>
      </c>
      <c r="O17" s="25">
        <f>IF(Lines!AJ40&lt;0,0,Lines!AJ40)</f>
        <v>0.1875</v>
      </c>
      <c r="P17" s="26">
        <f>IF(Lines!AK40&lt;0,0,Lines!AK40)</f>
        <v>0.125</v>
      </c>
      <c r="Q17" s="24">
        <f>IF(Lines!AL40&lt;0,0,Lines!AL40)</f>
        <v>150</v>
      </c>
      <c r="R17" s="26">
        <f>IF(Lines!AM40&lt;0,0,Lines!AM40)</f>
        <v>1.2500000000000001E-2</v>
      </c>
      <c r="S17" s="24">
        <f t="shared" si="0"/>
        <v>1251.25</v>
      </c>
      <c r="T17" s="85">
        <f t="shared" si="1"/>
        <v>-1.298701298701303E-3</v>
      </c>
      <c r="U17" s="26"/>
      <c r="AG17" s="23" t="s">
        <v>70</v>
      </c>
      <c r="AH17" s="3">
        <f>0.5*Lpp</f>
        <v>75</v>
      </c>
      <c r="AI17" s="22">
        <v>0</v>
      </c>
    </row>
    <row r="18" spans="2:35" ht="15.75" thickBot="1" x14ac:dyDescent="0.3">
      <c r="AG18" s="23"/>
      <c r="AH18" s="3">
        <f>0.5*Lpp</f>
        <v>75</v>
      </c>
      <c r="AI18" s="22">
        <f>1.05*Am</f>
        <v>141.63187500000001</v>
      </c>
    </row>
    <row r="19" spans="2:35" x14ac:dyDescent="0.25">
      <c r="B19" s="29"/>
      <c r="C19" s="18"/>
      <c r="D19" s="18"/>
      <c r="E19" s="18"/>
      <c r="F19" s="18"/>
      <c r="G19" s="18"/>
      <c r="H19" s="18"/>
      <c r="I19" s="18"/>
      <c r="J19" s="80" t="s">
        <v>108</v>
      </c>
      <c r="K19" s="18"/>
      <c r="L19" s="18"/>
      <c r="M19" s="18"/>
      <c r="N19" s="18"/>
      <c r="O19" s="18"/>
      <c r="P19" s="18"/>
      <c r="Q19" s="18"/>
      <c r="R19" s="31" t="s">
        <v>109</v>
      </c>
      <c r="S19" s="81" t="s">
        <v>100</v>
      </c>
      <c r="T19" s="31" t="s">
        <v>42</v>
      </c>
      <c r="U19" s="31" t="s">
        <v>98</v>
      </c>
      <c r="V19" s="44" t="s">
        <v>110</v>
      </c>
      <c r="AG19" s="23" t="s">
        <v>71</v>
      </c>
      <c r="AH19" s="3">
        <f>0.6*Lpp</f>
        <v>90</v>
      </c>
      <c r="AI19" s="22">
        <v>0</v>
      </c>
    </row>
    <row r="20" spans="2:35" x14ac:dyDescent="0.25">
      <c r="B20" s="23"/>
      <c r="C20" s="3"/>
      <c r="D20" s="3"/>
      <c r="E20" s="4" t="s">
        <v>93</v>
      </c>
      <c r="F20" s="4" t="s">
        <v>65</v>
      </c>
      <c r="G20" s="4" t="s">
        <v>66</v>
      </c>
      <c r="H20" s="4" t="s">
        <v>67</v>
      </c>
      <c r="I20" s="4" t="s">
        <v>68</v>
      </c>
      <c r="J20" s="4" t="s">
        <v>69</v>
      </c>
      <c r="K20" s="4" t="s">
        <v>70</v>
      </c>
      <c r="L20" s="4" t="s">
        <v>71</v>
      </c>
      <c r="M20" s="4" t="s">
        <v>72</v>
      </c>
      <c r="N20" s="4" t="s">
        <v>73</v>
      </c>
      <c r="O20" s="4" t="s">
        <v>74</v>
      </c>
      <c r="P20" s="4" t="s">
        <v>75</v>
      </c>
      <c r="Q20" s="3"/>
      <c r="R20" s="4" t="s">
        <v>82</v>
      </c>
      <c r="S20" s="77" t="s">
        <v>111</v>
      </c>
      <c r="T20" s="3"/>
      <c r="U20" s="4" t="s">
        <v>104</v>
      </c>
      <c r="V20" s="32" t="s">
        <v>112</v>
      </c>
      <c r="AG20" s="23"/>
      <c r="AH20" s="3">
        <f>0.6*Lpp</f>
        <v>90</v>
      </c>
      <c r="AI20" s="22">
        <f>1.05*Am</f>
        <v>141.63187500000001</v>
      </c>
    </row>
    <row r="21" spans="2:35" x14ac:dyDescent="0.25">
      <c r="B21" s="23" t="s">
        <v>77</v>
      </c>
      <c r="C21" s="3"/>
      <c r="D21" s="3"/>
      <c r="E21" s="4">
        <f>2/3*T/5*(0.5*E17+2*E16+1.5*E15+4*E14+2*E13+4*E12+1*E11)</f>
        <v>0</v>
      </c>
      <c r="F21" s="78">
        <f>2/3*T/5*(0.5*F17+2*F16+1.5*F15+4*F14+2*F13+4*F12+1*F11)</f>
        <v>3.6666666666666665</v>
      </c>
      <c r="G21" s="78">
        <f t="shared" ref="G21:P21" si="2">2/3*T/5*(0.5*G17+2*G16+1.5*G15+4*G14+2*G13+4*G12+1*G11)</f>
        <v>35.474999999999994</v>
      </c>
      <c r="H21" s="78">
        <f t="shared" si="2"/>
        <v>85.983333333333334</v>
      </c>
      <c r="I21" s="78">
        <f t="shared" si="2"/>
        <v>123.22749999999999</v>
      </c>
      <c r="J21" s="78">
        <f t="shared" si="2"/>
        <v>134.88749999999999</v>
      </c>
      <c r="K21" s="78">
        <f t="shared" si="2"/>
        <v>134.88749999999999</v>
      </c>
      <c r="L21" s="78">
        <f t="shared" si="2"/>
        <v>128.92916666666665</v>
      </c>
      <c r="M21" s="78">
        <f t="shared" si="2"/>
        <v>111.60416666666666</v>
      </c>
      <c r="N21" s="78">
        <f t="shared" si="2"/>
        <v>79.474999999999994</v>
      </c>
      <c r="O21" s="78">
        <f t="shared" si="2"/>
        <v>37.835416666666667</v>
      </c>
      <c r="P21" s="78">
        <f t="shared" si="2"/>
        <v>5.6374999999999993</v>
      </c>
      <c r="Q21" s="3"/>
      <c r="R21" s="78">
        <f>2/3*T/5*(0.5*R17+2*R16+1.5*R15+4*R14+2*R13+4*R12+1*R11)</f>
        <v>3.6712499999999997</v>
      </c>
      <c r="S21" s="77">
        <f>-$D11*$E21+1/3*Lpp/10*(1*$F21+4*$G21+2*$H21+4*$I21+2*$J21+4*$K21+2*$L21+4*$M21+2*$N21+4*$O21+1*$P21)+($Q14-Lpp)*($P21+$R21)/2</f>
        <v>13210.334843749997</v>
      </c>
      <c r="T21" s="9">
        <f>S21/Lpp/B/T</f>
        <v>0.64050108333333322</v>
      </c>
      <c r="U21" s="79">
        <f>(-0.5*(-$D11*$E21)+1/3*Lpp/10*(-0.5*1*$F21-0.4*4*$G21-0.3*2*$H21-0.2*4*$I21-0.1*2*$J21+0*4*$K21+0.1*2*$L21+0.2*4*$M21+0.3*2*$N21+0.4*4*$O21+0.5*1*$P21)+0.5*($Q14-Lpp)*($P21+$R21)/2)/S21</f>
        <v>-3.2497342900669069E-3</v>
      </c>
      <c r="V21" s="82">
        <f>MAX(I21:M21)</f>
        <v>134.88749999999999</v>
      </c>
      <c r="AG21" s="23" t="s">
        <v>72</v>
      </c>
      <c r="AH21" s="3">
        <f>0.7*Lpp</f>
        <v>105</v>
      </c>
      <c r="AI21" s="22">
        <v>0</v>
      </c>
    </row>
    <row r="22" spans="2:35" x14ac:dyDescent="0.25">
      <c r="B22" s="23" t="s">
        <v>46</v>
      </c>
      <c r="C22" s="3"/>
      <c r="D22" s="3"/>
      <c r="E22" s="78">
        <f>E21+2/3*(D-T)/4*(1*E11+4*E10+2*E9+4*E8+1*E7)</f>
        <v>168.76041666666666</v>
      </c>
      <c r="F22" s="78">
        <f>F21+2/3*(D-T)/4*(1*F11+4*F10+2*F9+4*F8+1*F7)</f>
        <v>191.69374999999997</v>
      </c>
      <c r="G22" s="78">
        <f t="shared" ref="G22:P22" si="3">G21+2/3*(D-T)/4*(1*G11+4*G10+2*G9+4*G8+1*G7)</f>
        <v>243.54791666666665</v>
      </c>
      <c r="H22" s="78">
        <f t="shared" si="3"/>
        <v>298.21770833333329</v>
      </c>
      <c r="I22" s="78">
        <f t="shared" si="3"/>
        <v>335.72749999999996</v>
      </c>
      <c r="J22" s="78">
        <f t="shared" si="3"/>
        <v>347.38749999999993</v>
      </c>
      <c r="K22" s="78">
        <f t="shared" si="3"/>
        <v>347.38749999999993</v>
      </c>
      <c r="L22" s="78">
        <f t="shared" si="3"/>
        <v>341.42916666666662</v>
      </c>
      <c r="M22" s="78">
        <f t="shared" si="3"/>
        <v>323.75</v>
      </c>
      <c r="N22" s="78">
        <f t="shared" si="3"/>
        <v>279.57916666666665</v>
      </c>
      <c r="O22" s="78">
        <f t="shared" si="3"/>
        <v>191.18958333333333</v>
      </c>
      <c r="P22" s="78">
        <f t="shared" si="3"/>
        <v>52.033333333333331</v>
      </c>
      <c r="Q22" s="3"/>
      <c r="R22" s="78">
        <f>2/3*(D-T)/4*(1*R11+4*R10+2*R9+4*R8+1*R7)</f>
        <v>15.583333333333332</v>
      </c>
      <c r="S22" s="77">
        <f>-$D9*$E22+1/3*Lpp/10*(1*$F22+4*$G22+2*$H22+4*$I22+2*$J22+4*$K22+2*$L22+4*$M22+2*$N22+4*$O22+1*$P22)+($Q9-Lpp)*($P22+$R22)/2+($Q14-Lpp)*($P22+$R22)/2</f>
        <v>43744.808020833319</v>
      </c>
      <c r="T22" s="3"/>
      <c r="U22" s="3"/>
      <c r="V22" s="82">
        <f>MAX(I22:M22)</f>
        <v>347.38749999999993</v>
      </c>
      <c r="AG22" s="23"/>
      <c r="AH22" s="3">
        <f>0.7*Lpp</f>
        <v>105</v>
      </c>
      <c r="AI22" s="22">
        <f>1.05*Am</f>
        <v>141.63187500000001</v>
      </c>
    </row>
    <row r="23" spans="2:35" ht="15.75" thickBot="1" x14ac:dyDescent="0.3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83"/>
      <c r="T23" s="25"/>
      <c r="U23" s="25"/>
      <c r="V23" s="26"/>
      <c r="AG23" s="23" t="s">
        <v>73</v>
      </c>
      <c r="AH23" s="3">
        <f>0.8*Lpp</f>
        <v>120</v>
      </c>
      <c r="AI23" s="22">
        <v>0</v>
      </c>
    </row>
    <row r="24" spans="2:35" x14ac:dyDescent="0.25">
      <c r="AG24" s="23"/>
      <c r="AH24" s="3">
        <f>0.8*Lpp</f>
        <v>120</v>
      </c>
      <c r="AI24" s="22">
        <f>1.05*Am</f>
        <v>141.63187500000001</v>
      </c>
    </row>
    <row r="25" spans="2:35" x14ac:dyDescent="0.25">
      <c r="AG25" s="23" t="s">
        <v>74</v>
      </c>
      <c r="AH25" s="3">
        <f>0.9*Lpp</f>
        <v>135</v>
      </c>
      <c r="AI25" s="22">
        <v>0</v>
      </c>
    </row>
    <row r="26" spans="2:35" x14ac:dyDescent="0.25">
      <c r="AG26" s="23"/>
      <c r="AH26" s="3">
        <f>0.9*Lpp</f>
        <v>135</v>
      </c>
      <c r="AI26" s="22">
        <f>1.05*Am</f>
        <v>141.63187500000001</v>
      </c>
    </row>
    <row r="27" spans="2:35" x14ac:dyDescent="0.25">
      <c r="AG27" s="23" t="s">
        <v>75</v>
      </c>
      <c r="AH27" s="3">
        <f>Lpp</f>
        <v>150</v>
      </c>
      <c r="AI27" s="22">
        <v>0</v>
      </c>
    </row>
    <row r="28" spans="2:35" ht="15.75" thickBot="1" x14ac:dyDescent="0.3">
      <c r="AG28" s="24"/>
      <c r="AH28" s="25">
        <f>Lpp</f>
        <v>150</v>
      </c>
      <c r="AI28" s="26">
        <f>1.05*Am</f>
        <v>141.63187500000001</v>
      </c>
    </row>
  </sheetData>
  <mergeCells count="2">
    <mergeCell ref="S4:T4"/>
    <mergeCell ref="AG5:A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37C2-46EA-4C0D-90EF-E34367BFA5D8}">
  <dimension ref="I4:AR17"/>
  <sheetViews>
    <sheetView topLeftCell="W1" zoomScale="110" zoomScaleNormal="110" workbookViewId="0">
      <selection activeCell="T49" sqref="T49"/>
    </sheetView>
  </sheetViews>
  <sheetFormatPr defaultRowHeight="15" x14ac:dyDescent="0.25"/>
  <cols>
    <col min="41" max="41" width="10.5703125" customWidth="1"/>
    <col min="42" max="42" width="10.140625" customWidth="1"/>
    <col min="43" max="43" width="10.5703125" customWidth="1"/>
    <col min="44" max="44" width="9.85546875" customWidth="1"/>
  </cols>
  <sheetData>
    <row r="4" spans="9:44" ht="15.75" thickBot="1" x14ac:dyDescent="0.3"/>
    <row r="5" spans="9:44" x14ac:dyDescent="0.25">
      <c r="I5" s="29"/>
      <c r="J5" s="18" t="s">
        <v>113</v>
      </c>
      <c r="K5" s="18"/>
      <c r="L5" s="18"/>
      <c r="M5" s="20"/>
      <c r="Y5" s="29" t="s">
        <v>42</v>
      </c>
      <c r="Z5" s="18" t="s">
        <v>116</v>
      </c>
      <c r="AA5" s="18"/>
      <c r="AB5" s="18" t="s">
        <v>65</v>
      </c>
      <c r="AC5" s="18" t="s">
        <v>66</v>
      </c>
      <c r="AD5" s="18" t="s">
        <v>67</v>
      </c>
      <c r="AE5" s="18" t="s">
        <v>68</v>
      </c>
      <c r="AF5" s="18" t="s">
        <v>69</v>
      </c>
      <c r="AG5" s="18" t="s">
        <v>70</v>
      </c>
      <c r="AH5" s="18" t="s">
        <v>71</v>
      </c>
      <c r="AI5" s="18" t="s">
        <v>72</v>
      </c>
      <c r="AJ5" s="18" t="s">
        <v>73</v>
      </c>
      <c r="AK5" s="18" t="s">
        <v>74</v>
      </c>
      <c r="AL5" s="18" t="s">
        <v>75</v>
      </c>
      <c r="AM5" s="172" t="s">
        <v>126</v>
      </c>
      <c r="AN5" s="172"/>
      <c r="AO5" s="18"/>
      <c r="AP5" s="18" t="s">
        <v>117</v>
      </c>
      <c r="AQ5" s="18" t="s">
        <v>118</v>
      </c>
      <c r="AR5" s="20"/>
    </row>
    <row r="6" spans="9:44" x14ac:dyDescent="0.25">
      <c r="I6" s="23" t="s">
        <v>41</v>
      </c>
      <c r="J6" s="3" t="s">
        <v>42</v>
      </c>
      <c r="K6" s="3" t="s">
        <v>43</v>
      </c>
      <c r="L6" s="3" t="s">
        <v>98</v>
      </c>
      <c r="M6" s="22" t="s">
        <v>44</v>
      </c>
      <c r="Y6" s="23"/>
      <c r="Z6" s="3" t="s">
        <v>61</v>
      </c>
      <c r="AA6" s="3" t="s">
        <v>119</v>
      </c>
      <c r="AB6" s="3">
        <v>0</v>
      </c>
      <c r="AC6" s="3">
        <v>0.1</v>
      </c>
      <c r="AD6" s="3">
        <v>0.2</v>
      </c>
      <c r="AE6" s="3">
        <v>0.3</v>
      </c>
      <c r="AF6" s="3">
        <v>0.4</v>
      </c>
      <c r="AG6" s="3">
        <v>0.5</v>
      </c>
      <c r="AH6" s="3">
        <v>0.6</v>
      </c>
      <c r="AI6" s="3">
        <v>0.7</v>
      </c>
      <c r="AJ6" s="3">
        <v>0.8</v>
      </c>
      <c r="AK6" s="3">
        <v>0.9</v>
      </c>
      <c r="AL6" s="3">
        <v>1</v>
      </c>
      <c r="AM6" s="3" t="s">
        <v>61</v>
      </c>
      <c r="AN6" s="3" t="s">
        <v>119</v>
      </c>
      <c r="AO6" s="3" t="s">
        <v>42</v>
      </c>
      <c r="AP6" s="3" t="s">
        <v>43</v>
      </c>
      <c r="AQ6" s="3" t="s">
        <v>98</v>
      </c>
      <c r="AR6" s="22" t="s">
        <v>44</v>
      </c>
    </row>
    <row r="7" spans="9:44" x14ac:dyDescent="0.25">
      <c r="I7" s="23">
        <v>0.15</v>
      </c>
      <c r="J7" s="3">
        <v>0.85</v>
      </c>
      <c r="K7" s="3">
        <v>0.997</v>
      </c>
      <c r="L7" s="3">
        <v>2.8000000000000001E-2</v>
      </c>
      <c r="M7" s="22">
        <f t="shared" ref="M7:M12" si="0">J7/K7</f>
        <v>0.85255767301905716</v>
      </c>
      <c r="Y7" s="23">
        <v>0.85</v>
      </c>
      <c r="Z7" s="3">
        <v>0</v>
      </c>
      <c r="AA7" s="3">
        <v>0</v>
      </c>
      <c r="AB7" s="3">
        <v>0</v>
      </c>
      <c r="AC7" s="3">
        <v>0.53</v>
      </c>
      <c r="AD7" s="3">
        <v>0.89</v>
      </c>
      <c r="AE7" s="3">
        <v>0.99</v>
      </c>
      <c r="AF7" s="3">
        <v>0.998</v>
      </c>
      <c r="AG7" s="3">
        <v>0.998</v>
      </c>
      <c r="AH7" s="3">
        <v>0.998</v>
      </c>
      <c r="AI7" s="3">
        <v>0.998</v>
      </c>
      <c r="AJ7" s="3">
        <v>0.99399999999999999</v>
      </c>
      <c r="AK7" s="3">
        <v>0.88</v>
      </c>
      <c r="AL7" s="3">
        <v>0.1</v>
      </c>
      <c r="AM7" s="3">
        <v>1.0249999999999999</v>
      </c>
      <c r="AN7" s="3">
        <v>5.5E-2</v>
      </c>
      <c r="AO7" s="3">
        <f t="shared" ref="AO7:AO12" si="1">-$Z7*$AA7+1/3/10*(1*$AB7+4*$AC7+2*$AD7+4*$AE7+2*$AF7+4*$AG7+2*$AH7+4*$AI7+2*$AJ7+4*$AK7+1*$AL7)+(AM7-1)*($AL7+$AN7)/2</f>
        <v>0.85007083333333333</v>
      </c>
      <c r="AP7" s="3">
        <v>0.997</v>
      </c>
      <c r="AQ7" s="3">
        <f t="shared" ref="AQ7:AQ12" si="2">(-0.5*(-$Z7*$AA7)+1/3/10*(-0.5*1*$AB7-0.4*4*$AC7-0.3*2*$AD7-0.2*4*$AE7-0.1*2*$AF7+0*4*$AG7+0.1*2*$AH7+0.2*4*$AI7+0.3*2*$AJ7+0.4*4*$AK7+0.5*1*$AL7)+0.5*($AM7-1)*($AL7+$AN7)/2)/AO7</f>
        <v>2.775700064210334E-2</v>
      </c>
      <c r="AR7" s="22">
        <f t="shared" ref="AR7:AR12" si="3">AO7/AP7</f>
        <v>0.85262871949180874</v>
      </c>
    </row>
    <row r="8" spans="9:44" x14ac:dyDescent="0.25">
      <c r="I8" s="23">
        <v>0.18</v>
      </c>
      <c r="J8" s="3">
        <v>0.8</v>
      </c>
      <c r="K8" s="3">
        <v>0.995</v>
      </c>
      <c r="L8" s="3">
        <v>2.5000000000000001E-2</v>
      </c>
      <c r="M8" s="22">
        <f t="shared" si="0"/>
        <v>0.8040201005025126</v>
      </c>
      <c r="Y8" s="23">
        <v>0.8</v>
      </c>
      <c r="Z8" s="3">
        <v>-0.01</v>
      </c>
      <c r="AA8" s="3">
        <v>0</v>
      </c>
      <c r="AB8" s="3">
        <v>0.02</v>
      </c>
      <c r="AC8" s="3">
        <v>0.42</v>
      </c>
      <c r="AD8" s="3">
        <v>0.82</v>
      </c>
      <c r="AE8" s="3">
        <v>0.97</v>
      </c>
      <c r="AF8" s="3">
        <v>0.995</v>
      </c>
      <c r="AG8" s="3">
        <v>0.995</v>
      </c>
      <c r="AH8" s="3">
        <v>0.995</v>
      </c>
      <c r="AI8" s="3">
        <v>0.995</v>
      </c>
      <c r="AJ8" s="3">
        <v>0.96399999999999997</v>
      </c>
      <c r="AK8" s="3">
        <v>0.69</v>
      </c>
      <c r="AL8" s="3">
        <v>0.09</v>
      </c>
      <c r="AM8" s="3">
        <v>1.0225</v>
      </c>
      <c r="AN8" s="3">
        <v>0.05</v>
      </c>
      <c r="AO8" s="3">
        <f t="shared" si="1"/>
        <v>0.79950833333333327</v>
      </c>
      <c r="AP8" s="3">
        <v>0.995</v>
      </c>
      <c r="AQ8" s="3">
        <f t="shared" si="2"/>
        <v>2.4891339469048684E-2</v>
      </c>
      <c r="AR8" s="22">
        <f t="shared" si="3"/>
        <v>0.80352596314907865</v>
      </c>
    </row>
    <row r="9" spans="9:44" x14ac:dyDescent="0.25">
      <c r="I9" s="23">
        <v>0.23</v>
      </c>
      <c r="J9" s="3">
        <v>0.7</v>
      </c>
      <c r="K9" s="3">
        <v>0.98799999999999999</v>
      </c>
      <c r="L9" s="3">
        <v>0.01</v>
      </c>
      <c r="M9" s="22">
        <f t="shared" si="0"/>
        <v>0.70850202429149789</v>
      </c>
      <c r="Y9" s="23">
        <v>0.7</v>
      </c>
      <c r="Z9" s="3">
        <v>-2.5000000000000001E-2</v>
      </c>
      <c r="AA9" s="3">
        <v>0</v>
      </c>
      <c r="AB9" s="3">
        <v>0.03</v>
      </c>
      <c r="AC9" s="3">
        <v>0.3</v>
      </c>
      <c r="AD9" s="3">
        <v>0.7</v>
      </c>
      <c r="AE9" s="3">
        <v>0.92</v>
      </c>
      <c r="AF9" s="3">
        <v>0.98499999999999999</v>
      </c>
      <c r="AG9" s="3">
        <v>0.98799999999999999</v>
      </c>
      <c r="AH9" s="3">
        <v>0.98799999999999999</v>
      </c>
      <c r="AI9" s="3">
        <v>0.91</v>
      </c>
      <c r="AJ9" s="3">
        <v>0.71</v>
      </c>
      <c r="AK9" s="3">
        <v>0.4</v>
      </c>
      <c r="AL9" s="3">
        <v>0.08</v>
      </c>
      <c r="AM9" s="3">
        <v>1.02</v>
      </c>
      <c r="AN9" s="3">
        <v>4.4999999999999998E-2</v>
      </c>
      <c r="AO9" s="3">
        <f t="shared" si="1"/>
        <v>0.69951666666666668</v>
      </c>
      <c r="AP9" s="3">
        <v>0.98799999999999999</v>
      </c>
      <c r="AQ9" s="3">
        <f t="shared" si="2"/>
        <v>9.6423721140787653E-3</v>
      </c>
      <c r="AR9" s="22">
        <f t="shared" si="3"/>
        <v>0.70801282051282055</v>
      </c>
    </row>
    <row r="10" spans="9:44" x14ac:dyDescent="0.25">
      <c r="I10" s="23">
        <v>0.3</v>
      </c>
      <c r="J10" s="3">
        <v>0.6</v>
      </c>
      <c r="K10" s="3">
        <v>0.97</v>
      </c>
      <c r="L10" s="3">
        <v>-1.2999999999999999E-2</v>
      </c>
      <c r="M10" s="22">
        <f t="shared" si="0"/>
        <v>0.61855670103092786</v>
      </c>
      <c r="Y10" s="23">
        <v>0.6</v>
      </c>
      <c r="Z10" s="3">
        <v>-2.5000000000000001E-2</v>
      </c>
      <c r="AA10" s="3">
        <v>0</v>
      </c>
      <c r="AB10" s="3">
        <v>2.5000000000000001E-2</v>
      </c>
      <c r="AC10" s="3">
        <v>0.24</v>
      </c>
      <c r="AD10" s="3">
        <v>0.59</v>
      </c>
      <c r="AE10" s="3">
        <v>0.88</v>
      </c>
      <c r="AF10" s="3">
        <v>0.97</v>
      </c>
      <c r="AG10" s="3">
        <v>0.96499999999999997</v>
      </c>
      <c r="AH10" s="3">
        <v>0.89</v>
      </c>
      <c r="AI10" s="3">
        <v>0.72</v>
      </c>
      <c r="AJ10" s="3">
        <v>0.47</v>
      </c>
      <c r="AK10" s="3">
        <v>0.2</v>
      </c>
      <c r="AL10" s="3">
        <v>7.0000000000000007E-2</v>
      </c>
      <c r="AM10" s="3">
        <v>1.02</v>
      </c>
      <c r="AN10" s="3">
        <v>0.04</v>
      </c>
      <c r="AO10" s="3">
        <f t="shared" si="1"/>
        <v>0.59960000000000002</v>
      </c>
      <c r="AP10" s="3">
        <v>0.97</v>
      </c>
      <c r="AQ10" s="3">
        <f t="shared" si="2"/>
        <v>-1.339782076940182E-2</v>
      </c>
      <c r="AR10" s="22">
        <f t="shared" si="3"/>
        <v>0.61814432989690726</v>
      </c>
    </row>
    <row r="11" spans="9:44" x14ac:dyDescent="0.25">
      <c r="I11" s="23">
        <v>0.37</v>
      </c>
      <c r="J11" s="3">
        <v>0.5</v>
      </c>
      <c r="K11" s="3">
        <v>0.9</v>
      </c>
      <c r="L11" s="3">
        <v>-3.1E-2</v>
      </c>
      <c r="M11" s="22">
        <f t="shared" si="0"/>
        <v>0.55555555555555558</v>
      </c>
      <c r="Y11" s="23">
        <v>0.5</v>
      </c>
      <c r="Z11" s="3">
        <v>-2.5000000000000001E-2</v>
      </c>
      <c r="AA11" s="3">
        <v>0</v>
      </c>
      <c r="AB11" s="3">
        <v>2.5000000000000001E-2</v>
      </c>
      <c r="AC11" s="3">
        <v>0.2</v>
      </c>
      <c r="AD11" s="3">
        <v>0.5</v>
      </c>
      <c r="AE11" s="3">
        <v>0.78</v>
      </c>
      <c r="AF11" s="3">
        <v>0.89</v>
      </c>
      <c r="AG11" s="3">
        <v>0.88</v>
      </c>
      <c r="AH11" s="3">
        <v>0.75</v>
      </c>
      <c r="AI11" s="3">
        <v>0.53</v>
      </c>
      <c r="AJ11" s="3">
        <v>0.3</v>
      </c>
      <c r="AK11" s="3">
        <v>0.11</v>
      </c>
      <c r="AL11" s="3">
        <v>0.06</v>
      </c>
      <c r="AM11" s="3">
        <v>1.02</v>
      </c>
      <c r="AN11" s="3">
        <v>3.5000000000000003E-2</v>
      </c>
      <c r="AO11" s="3">
        <f t="shared" si="1"/>
        <v>0.49978333333333341</v>
      </c>
      <c r="AP11" s="3">
        <v>0.9</v>
      </c>
      <c r="AQ11" s="3">
        <f t="shared" si="2"/>
        <v>-3.0696635208590371E-2</v>
      </c>
      <c r="AR11" s="22">
        <f t="shared" si="3"/>
        <v>0.55531481481481493</v>
      </c>
    </row>
    <row r="12" spans="9:44" ht="15.75" thickBot="1" x14ac:dyDescent="0.3">
      <c r="I12" s="24">
        <v>0.6</v>
      </c>
      <c r="J12" s="25">
        <v>0.4</v>
      </c>
      <c r="K12" s="25">
        <v>0.625</v>
      </c>
      <c r="L12" s="25">
        <v>-0.1</v>
      </c>
      <c r="M12" s="26">
        <f t="shared" si="0"/>
        <v>0.64</v>
      </c>
      <c r="Y12" s="24">
        <v>0.4</v>
      </c>
      <c r="Z12" s="25">
        <v>-2.5000000000000001E-2</v>
      </c>
      <c r="AA12" s="25">
        <v>0.3</v>
      </c>
      <c r="AB12" s="25">
        <v>0.31</v>
      </c>
      <c r="AC12" s="25">
        <v>0.4</v>
      </c>
      <c r="AD12" s="25">
        <v>0.5</v>
      </c>
      <c r="AE12" s="25">
        <v>0.59</v>
      </c>
      <c r="AF12" s="25">
        <v>0.62</v>
      </c>
      <c r="AG12" s="25">
        <v>0.59</v>
      </c>
      <c r="AH12" s="25">
        <v>0.49</v>
      </c>
      <c r="AI12" s="25">
        <v>0.33</v>
      </c>
      <c r="AJ12" s="25">
        <v>0.15</v>
      </c>
      <c r="AK12" s="25">
        <v>0.06</v>
      </c>
      <c r="AL12" s="25">
        <v>0.04</v>
      </c>
      <c r="AM12" s="25">
        <v>1.02</v>
      </c>
      <c r="AN12" s="25">
        <v>0.03</v>
      </c>
      <c r="AO12" s="25">
        <f t="shared" si="1"/>
        <v>0.39986666666666665</v>
      </c>
      <c r="AP12" s="25">
        <v>0.625</v>
      </c>
      <c r="AQ12" s="25">
        <f t="shared" si="2"/>
        <v>-0.10211737245748582</v>
      </c>
      <c r="AR12" s="26">
        <f t="shared" si="3"/>
        <v>0.63978666666666661</v>
      </c>
    </row>
    <row r="13" spans="9:44" ht="15.75" thickBot="1" x14ac:dyDescent="0.3"/>
    <row r="14" spans="9:44" ht="15.75" thickBot="1" x14ac:dyDescent="0.3">
      <c r="Y14" s="29"/>
      <c r="Z14" s="18"/>
      <c r="AA14" s="18"/>
      <c r="AB14" s="18"/>
      <c r="AC14" s="18"/>
      <c r="AD14" s="18"/>
      <c r="AE14" s="18"/>
      <c r="AF14" s="18" t="s">
        <v>120</v>
      </c>
      <c r="AG14" s="18"/>
      <c r="AH14" s="18"/>
      <c r="AI14" s="18"/>
      <c r="AJ14" s="18"/>
      <c r="AK14" s="18"/>
      <c r="AL14" s="18"/>
      <c r="AM14" s="18"/>
      <c r="AN14" s="18" t="s">
        <v>109</v>
      </c>
      <c r="AO14" s="18" t="s">
        <v>121</v>
      </c>
      <c r="AP14" s="18" t="s">
        <v>121</v>
      </c>
      <c r="AQ14" s="18" t="s">
        <v>121</v>
      </c>
      <c r="AR14" s="20" t="s">
        <v>121</v>
      </c>
    </row>
    <row r="15" spans="9:44" x14ac:dyDescent="0.25">
      <c r="I15" s="29"/>
      <c r="J15" s="18" t="s">
        <v>114</v>
      </c>
      <c r="K15" s="18"/>
      <c r="L15" s="18"/>
      <c r="M15" s="20"/>
      <c r="Y15" s="23"/>
      <c r="Z15" s="3" t="s">
        <v>61</v>
      </c>
      <c r="AA15" s="3" t="s">
        <v>93</v>
      </c>
      <c r="AB15" s="3" t="s">
        <v>65</v>
      </c>
      <c r="AC15" s="3" t="s">
        <v>66</v>
      </c>
      <c r="AD15" s="3" t="s">
        <v>67</v>
      </c>
      <c r="AE15" s="3" t="s">
        <v>68</v>
      </c>
      <c r="AF15" s="3" t="s">
        <v>69</v>
      </c>
      <c r="AG15" s="3" t="s">
        <v>70</v>
      </c>
      <c r="AH15" s="3" t="s">
        <v>71</v>
      </c>
      <c r="AI15" s="3" t="s">
        <v>72</v>
      </c>
      <c r="AJ15" s="3" t="s">
        <v>73</v>
      </c>
      <c r="AK15" s="3" t="s">
        <v>74</v>
      </c>
      <c r="AL15" s="3" t="s">
        <v>75</v>
      </c>
      <c r="AM15" s="3" t="s">
        <v>61</v>
      </c>
      <c r="AN15" s="3" t="s">
        <v>82</v>
      </c>
      <c r="AO15" s="3" t="s">
        <v>115</v>
      </c>
      <c r="AP15" s="3" t="s">
        <v>43</v>
      </c>
      <c r="AQ15" s="3" t="s">
        <v>98</v>
      </c>
      <c r="AR15" s="22" t="s">
        <v>44</v>
      </c>
    </row>
    <row r="16" spans="9:44" ht="15.75" thickBot="1" x14ac:dyDescent="0.3">
      <c r="I16" s="23" t="s">
        <v>41</v>
      </c>
      <c r="J16" s="3" t="s">
        <v>115</v>
      </c>
      <c r="K16" s="3" t="s">
        <v>43</v>
      </c>
      <c r="L16" s="3" t="s">
        <v>98</v>
      </c>
      <c r="M16" s="22" t="s">
        <v>44</v>
      </c>
      <c r="Y16" s="24" t="s">
        <v>122</v>
      </c>
      <c r="Z16" s="25">
        <f>SAC!D11/Lpp</f>
        <v>-2.5000000000000001E-2</v>
      </c>
      <c r="AA16" s="25">
        <f>SAC!E21/B/T</f>
        <v>0</v>
      </c>
      <c r="AB16" s="25">
        <f>SAC!F21/B/T</f>
        <v>2.6666666666666668E-2</v>
      </c>
      <c r="AC16" s="25">
        <f>SAC!G21/B/T</f>
        <v>0.25799999999999995</v>
      </c>
      <c r="AD16" s="25">
        <f>SAC!H21/B/T</f>
        <v>0.6253333333333333</v>
      </c>
      <c r="AE16" s="25">
        <f>SAC!I21/B/T</f>
        <v>0.8962</v>
      </c>
      <c r="AF16" s="25">
        <f>SAC!J21/B/T</f>
        <v>0.98099999999999987</v>
      </c>
      <c r="AG16" s="25">
        <f>SAC!K21/B/T</f>
        <v>0.98099999999999987</v>
      </c>
      <c r="AH16" s="25">
        <f>SAC!L21/B/T</f>
        <v>0.93766666666666654</v>
      </c>
      <c r="AI16" s="25">
        <f>SAC!M21/B/T</f>
        <v>0.81166666666666665</v>
      </c>
      <c r="AJ16" s="25">
        <f>SAC!N21/B/T</f>
        <v>0.57799999999999996</v>
      </c>
      <c r="AK16" s="25">
        <f>SAC!O21/B/T</f>
        <v>0.27516666666666667</v>
      </c>
      <c r="AL16" s="25">
        <f>SAC!P21/B/T</f>
        <v>4.0999999999999995E-2</v>
      </c>
      <c r="AM16" s="25">
        <f>SAC!Q14/Lpp</f>
        <v>1.0149999999999999</v>
      </c>
      <c r="AN16" s="25">
        <f>SAC!R21/B/T</f>
        <v>2.6699999999999998E-2</v>
      </c>
      <c r="AO16" s="25">
        <f>-$Z16*$AA16+1/3/10*(1*$AB16+4*$AC16+2*$AD16+4*$AE16+2*$AF16+4*$AG16+2*$AH16+4*$AI16+2*$AJ16+4*$AK16+1*$AL16)+(AM16-1)*($AL16+$AN16)/2</f>
        <v>0.64050108333333322</v>
      </c>
      <c r="AP16" s="25">
        <f>MAX(AE16:AJ16)</f>
        <v>0.98099999999999987</v>
      </c>
      <c r="AQ16" s="25">
        <f>(-0.5*(-$Z16*$AA16)+1/3/10*(-0.5*1*$AB16-0.4*4*$AC16-0.3*2*$AD16-0.2*4*$AE16-0.1*2*$AF16+0*4*$AG16+0.1*2*$AH16+0.2*4*$AI16+0.3*2*$AJ16+0.4*4*$AK16+0.5*1*$AL16)+0.5*($AM16-1)*($AL16+$AN16)/2)/AO16</f>
        <v>-3.2497342900669008E-3</v>
      </c>
      <c r="AR16" s="26">
        <f>AO16/AP16</f>
        <v>0.65290630309208286</v>
      </c>
    </row>
    <row r="17" spans="9:13" ht="15.75" thickBot="1" x14ac:dyDescent="0.3">
      <c r="I17" s="24">
        <f>Fn</f>
        <v>0.2633519286707916</v>
      </c>
      <c r="J17" s="25">
        <f>AO16</f>
        <v>0.64050108333333322</v>
      </c>
      <c r="K17" s="25">
        <f>AP16</f>
        <v>0.98099999999999987</v>
      </c>
      <c r="L17" s="25">
        <f>AQ16</f>
        <v>-3.2497342900669008E-3</v>
      </c>
      <c r="M17" s="26">
        <f>AR16</f>
        <v>0.65290630309208286</v>
      </c>
    </row>
  </sheetData>
  <mergeCells count="1">
    <mergeCell ref="AM5:AN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39822646B774EAB83C4D2309E604D" ma:contentTypeVersion="13" ma:contentTypeDescription="Create a new document." ma:contentTypeScope="" ma:versionID="eb76fbf30b2eff29dea0d19e325219b1">
  <xsd:schema xmlns:xsd="http://www.w3.org/2001/XMLSchema" xmlns:xs="http://www.w3.org/2001/XMLSchema" xmlns:p="http://schemas.microsoft.com/office/2006/metadata/properties" xmlns:ns3="999c9e7a-9f67-4306-a71b-8133e6f1adb0" xmlns:ns4="08534761-e067-4182-9156-8f21373af7a5" targetNamespace="http://schemas.microsoft.com/office/2006/metadata/properties" ma:root="true" ma:fieldsID="532191bbc48b8118940b9085b05ca882" ns3:_="" ns4:_="">
    <xsd:import namespace="999c9e7a-9f67-4306-a71b-8133e6f1adb0"/>
    <xsd:import namespace="08534761-e067-4182-9156-8f21373af7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c9e7a-9f67-4306-a71b-8133e6f1a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34761-e067-4182-9156-8f21373af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547CF-CC71-4A94-AFCF-5ECBB770D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c9e7a-9f67-4306-a71b-8133e6f1adb0"/>
    <ds:schemaRef ds:uri="08534761-e067-4182-9156-8f21373af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9BCC46-3464-4E86-967F-F9D00DE89B08}">
  <ds:schemaRefs>
    <ds:schemaRef ds:uri="999c9e7a-9f67-4306-a71b-8133e6f1adb0"/>
    <ds:schemaRef ds:uri="08534761-e067-4182-9156-8f21373af7a5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29FF47-6D2F-4CF0-A6C5-346F00FEE8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Main Data</vt:lpstr>
      <vt:lpstr>Offset Tables</vt:lpstr>
      <vt:lpstr>Form</vt:lpstr>
      <vt:lpstr>Lines</vt:lpstr>
      <vt:lpstr>SAC</vt:lpstr>
      <vt:lpstr>Recommended SAC</vt:lpstr>
      <vt:lpstr>Am</vt:lpstr>
      <vt:lpstr>Aw</vt:lpstr>
      <vt:lpstr>B</vt:lpstr>
      <vt:lpstr>CB</vt:lpstr>
      <vt:lpstr>CM</vt:lpstr>
      <vt:lpstr>CW</vt:lpstr>
      <vt:lpstr>D</vt:lpstr>
      <vt:lpstr>Lpp</vt:lpstr>
      <vt:lpstr>Lwl</vt:lpstr>
      <vt:lpstr>T</vt:lpstr>
      <vt:lpstr>V</vt:lpstr>
      <vt:lpstr>Vol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 Samani</dc:creator>
  <cp:lastModifiedBy>Abdelghafor Zeiad</cp:lastModifiedBy>
  <dcterms:created xsi:type="dcterms:W3CDTF">2020-07-14T05:24:08Z</dcterms:created>
  <dcterms:modified xsi:type="dcterms:W3CDTF">2020-10-09T09:11:17Z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0x01010065239822646B774EAB83C4D2309E604D</vt:lpwstr>
  </property>
</Properties>
</file>