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aching\Ship Dynamics MEC 2004\Ship dynamics Feb 2021\Tutorials\15-2-2021 updates\"/>
    </mc:Choice>
  </mc:AlternateContent>
  <xr:revisionPtr revIDLastSave="0" documentId="8_{C66A91A2-B464-4546-9A19-FD73C129DF0B}" xr6:coauthVersionLast="45" xr6:coauthVersionMax="45" xr10:uidLastSave="{00000000-0000-0000-0000-000000000000}"/>
  <bookViews>
    <workbookView xWindow="-110" yWindow="-110" windowWidth="19420" windowHeight="10420" xr2:uid="{3948A134-0B48-4B32-86D4-AABEBBBCC69F}"/>
  </bookViews>
  <sheets>
    <sheet name="Inputs and Results" sheetId="2" r:id="rId1"/>
    <sheet name="Calculations" sheetId="1" r:id="rId2"/>
  </sheets>
  <definedNames>
    <definedName name="_⁡𝛽">'Inputs and Results'!$C$12</definedName>
    <definedName name="_𝜌">'Inputs and Results'!$C$8</definedName>
    <definedName name="B">'Inputs and Results'!$C$4</definedName>
    <definedName name="Cb">'Inputs and Results'!$C$6</definedName>
    <definedName name="h">'Inputs and Results'!$C$13</definedName>
    <definedName name="L">'Inputs and Results'!$C$3</definedName>
    <definedName name="raw">'Inputs and Results'!$C$8</definedName>
    <definedName name="T">'Inputs and Results'!$C$5</definedName>
    <definedName name="V">'Inputs and Results'!$C$7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51" i="1"/>
  <c r="C51" i="1" s="1"/>
  <c r="D51" i="1" s="1"/>
  <c r="B48" i="1"/>
  <c r="B15" i="1" s="1"/>
  <c r="C10" i="1"/>
  <c r="E51" i="1" l="1"/>
  <c r="F51" i="1" s="1"/>
  <c r="G51" i="1"/>
  <c r="H51" i="1" s="1"/>
  <c r="C11" i="1"/>
  <c r="C48" i="1"/>
  <c r="D48" i="1" s="1"/>
  <c r="B16" i="1"/>
  <c r="I51" i="1" l="1"/>
  <c r="J51" i="1" s="1"/>
  <c r="K51" i="1" s="1"/>
  <c r="L51" i="1" s="1"/>
  <c r="G48" i="1"/>
  <c r="H48" i="1" s="1"/>
  <c r="E48" i="1"/>
  <c r="F48" i="1" s="1"/>
  <c r="I48" i="1" s="1"/>
  <c r="C16" i="1"/>
  <c r="D16" i="1" s="1"/>
  <c r="B17" i="1"/>
  <c r="C15" i="1"/>
  <c r="D15" i="1" s="1"/>
  <c r="J48" i="1" l="1"/>
  <c r="K48" i="1" s="1"/>
  <c r="L48" i="1" s="1"/>
  <c r="E15" i="1"/>
  <c r="F15" i="1" s="1"/>
  <c r="G15" i="1"/>
  <c r="H15" i="1" s="1"/>
  <c r="E16" i="1"/>
  <c r="F16" i="1" s="1"/>
  <c r="G16" i="1"/>
  <c r="H16" i="1" s="1"/>
  <c r="B18" i="1"/>
  <c r="C17" i="1"/>
  <c r="D17" i="1" s="1"/>
  <c r="I16" i="1" l="1"/>
  <c r="I15" i="1"/>
  <c r="J15" i="1" s="1"/>
  <c r="K15" i="1" s="1"/>
  <c r="L15" i="1" s="1"/>
  <c r="J16" i="1"/>
  <c r="K16" i="1" s="1"/>
  <c r="L16" i="1" s="1"/>
  <c r="G17" i="1"/>
  <c r="H17" i="1" s="1"/>
  <c r="E17" i="1"/>
  <c r="F17" i="1" s="1"/>
  <c r="I17" i="1" s="1"/>
  <c r="B19" i="1"/>
  <c r="C18" i="1"/>
  <c r="D18" i="1" s="1"/>
  <c r="J17" i="1" l="1"/>
  <c r="K17" i="1" s="1"/>
  <c r="L17" i="1" s="1"/>
  <c r="G18" i="1"/>
  <c r="H18" i="1" s="1"/>
  <c r="E18" i="1"/>
  <c r="F18" i="1" s="1"/>
  <c r="I18" i="1" s="1"/>
  <c r="B20" i="1"/>
  <c r="C19" i="1"/>
  <c r="D19" i="1" s="1"/>
  <c r="J18" i="1" l="1"/>
  <c r="K18" i="1" s="1"/>
  <c r="L18" i="1" s="1"/>
  <c r="G19" i="1"/>
  <c r="H19" i="1" s="1"/>
  <c r="E19" i="1"/>
  <c r="F19" i="1" s="1"/>
  <c r="I19" i="1" s="1"/>
  <c r="B21" i="1"/>
  <c r="C20" i="1"/>
  <c r="D20" i="1" s="1"/>
  <c r="J19" i="1" l="1"/>
  <c r="K19" i="1" s="1"/>
  <c r="L19" i="1" s="1"/>
  <c r="G20" i="1"/>
  <c r="H20" i="1" s="1"/>
  <c r="E20" i="1"/>
  <c r="F20" i="1" s="1"/>
  <c r="I20" i="1" s="1"/>
  <c r="B22" i="1"/>
  <c r="C21" i="1"/>
  <c r="D21" i="1" s="1"/>
  <c r="J20" i="1" l="1"/>
  <c r="K20" i="1" s="1"/>
  <c r="L20" i="1" s="1"/>
  <c r="E21" i="1"/>
  <c r="F21" i="1" s="1"/>
  <c r="G21" i="1"/>
  <c r="H21" i="1" s="1"/>
  <c r="B23" i="1"/>
  <c r="C22" i="1"/>
  <c r="D22" i="1" s="1"/>
  <c r="I21" i="1" l="1"/>
  <c r="J21" i="1"/>
  <c r="K21" i="1" s="1"/>
  <c r="L21" i="1" s="1"/>
  <c r="E22" i="1"/>
  <c r="F22" i="1" s="1"/>
  <c r="G22" i="1"/>
  <c r="H22" i="1" s="1"/>
  <c r="B24" i="1"/>
  <c r="C23" i="1"/>
  <c r="D23" i="1" s="1"/>
  <c r="I22" i="1" l="1"/>
  <c r="J22" i="1"/>
  <c r="K22" i="1" s="1"/>
  <c r="L22" i="1" s="1"/>
  <c r="E23" i="1"/>
  <c r="F23" i="1" s="1"/>
  <c r="G23" i="1"/>
  <c r="H23" i="1" s="1"/>
  <c r="B25" i="1"/>
  <c r="C24" i="1"/>
  <c r="D24" i="1" s="1"/>
  <c r="I23" i="1" l="1"/>
  <c r="J23" i="1"/>
  <c r="K23" i="1" s="1"/>
  <c r="L23" i="1" s="1"/>
  <c r="E24" i="1"/>
  <c r="F24" i="1" s="1"/>
  <c r="G24" i="1"/>
  <c r="H24" i="1" s="1"/>
  <c r="B26" i="1"/>
  <c r="C25" i="1"/>
  <c r="D25" i="1" s="1"/>
  <c r="I24" i="1" l="1"/>
  <c r="J24" i="1"/>
  <c r="K24" i="1" s="1"/>
  <c r="L24" i="1" s="1"/>
  <c r="E25" i="1"/>
  <c r="F25" i="1" s="1"/>
  <c r="G25" i="1"/>
  <c r="H25" i="1" s="1"/>
  <c r="B27" i="1"/>
  <c r="C26" i="1"/>
  <c r="D26" i="1" s="1"/>
  <c r="I25" i="1" l="1"/>
  <c r="J25" i="1"/>
  <c r="K25" i="1" s="1"/>
  <c r="L25" i="1" s="1"/>
  <c r="G26" i="1"/>
  <c r="H26" i="1" s="1"/>
  <c r="E26" i="1"/>
  <c r="F26" i="1" s="1"/>
  <c r="I26" i="1" s="1"/>
  <c r="B28" i="1"/>
  <c r="C27" i="1"/>
  <c r="D27" i="1" s="1"/>
  <c r="J26" i="1" l="1"/>
  <c r="K26" i="1" s="1"/>
  <c r="L26" i="1" s="1"/>
  <c r="G27" i="1"/>
  <c r="H27" i="1" s="1"/>
  <c r="E27" i="1"/>
  <c r="F27" i="1" s="1"/>
  <c r="I27" i="1" s="1"/>
  <c r="B29" i="1"/>
  <c r="C28" i="1"/>
  <c r="D28" i="1" s="1"/>
  <c r="J27" i="1" l="1"/>
  <c r="K27" i="1" s="1"/>
  <c r="L27" i="1" s="1"/>
  <c r="E28" i="1"/>
  <c r="F28" i="1" s="1"/>
  <c r="G28" i="1"/>
  <c r="H28" i="1" s="1"/>
  <c r="B30" i="1"/>
  <c r="C29" i="1"/>
  <c r="D29" i="1" s="1"/>
  <c r="I28" i="1" l="1"/>
  <c r="J28" i="1"/>
  <c r="K28" i="1" s="1"/>
  <c r="L28" i="1" s="1"/>
  <c r="G29" i="1"/>
  <c r="H29" i="1" s="1"/>
  <c r="E29" i="1"/>
  <c r="F29" i="1" s="1"/>
  <c r="I29" i="1" s="1"/>
  <c r="B31" i="1"/>
  <c r="C30" i="1"/>
  <c r="D30" i="1" s="1"/>
  <c r="J29" i="1" l="1"/>
  <c r="K29" i="1" s="1"/>
  <c r="L29" i="1" s="1"/>
  <c r="E30" i="1"/>
  <c r="F30" i="1" s="1"/>
  <c r="G30" i="1"/>
  <c r="H30" i="1" s="1"/>
  <c r="B32" i="1"/>
  <c r="C31" i="1"/>
  <c r="D31" i="1" s="1"/>
  <c r="I30" i="1" l="1"/>
  <c r="J30" i="1"/>
  <c r="K30" i="1" s="1"/>
  <c r="L30" i="1" s="1"/>
  <c r="G31" i="1"/>
  <c r="H31" i="1" s="1"/>
  <c r="E31" i="1"/>
  <c r="F31" i="1" s="1"/>
  <c r="I31" i="1" s="1"/>
  <c r="B33" i="1"/>
  <c r="C32" i="1"/>
  <c r="D32" i="1" s="1"/>
  <c r="J31" i="1" l="1"/>
  <c r="K31" i="1" s="1"/>
  <c r="L31" i="1" s="1"/>
  <c r="E32" i="1"/>
  <c r="F32" i="1" s="1"/>
  <c r="G32" i="1"/>
  <c r="H32" i="1" s="1"/>
  <c r="B34" i="1"/>
  <c r="C33" i="1"/>
  <c r="D33" i="1" s="1"/>
  <c r="I32" i="1" l="1"/>
  <c r="J32" i="1"/>
  <c r="K32" i="1" s="1"/>
  <c r="L32" i="1" s="1"/>
  <c r="G33" i="1"/>
  <c r="H33" i="1" s="1"/>
  <c r="E33" i="1"/>
  <c r="F33" i="1" s="1"/>
  <c r="I33" i="1" s="1"/>
  <c r="B35" i="1"/>
  <c r="C34" i="1"/>
  <c r="D34" i="1" s="1"/>
  <c r="J33" i="1" l="1"/>
  <c r="K33" i="1" s="1"/>
  <c r="L33" i="1" s="1"/>
  <c r="G34" i="1"/>
  <c r="H34" i="1" s="1"/>
  <c r="E34" i="1"/>
  <c r="F34" i="1" s="1"/>
  <c r="I34" i="1" s="1"/>
  <c r="B36" i="1"/>
  <c r="C35" i="1"/>
  <c r="D35" i="1" s="1"/>
  <c r="J34" i="1" l="1"/>
  <c r="K34" i="1" s="1"/>
  <c r="L34" i="1" s="1"/>
  <c r="G35" i="1"/>
  <c r="H35" i="1" s="1"/>
  <c r="E35" i="1"/>
  <c r="F35" i="1" s="1"/>
  <c r="I35" i="1" s="1"/>
  <c r="B37" i="1"/>
  <c r="C36" i="1"/>
  <c r="D36" i="1" s="1"/>
  <c r="J35" i="1" l="1"/>
  <c r="K35" i="1" s="1"/>
  <c r="L35" i="1" s="1"/>
  <c r="G36" i="1"/>
  <c r="H36" i="1" s="1"/>
  <c r="E36" i="1"/>
  <c r="F36" i="1" s="1"/>
  <c r="I36" i="1" s="1"/>
  <c r="B38" i="1"/>
  <c r="C37" i="1"/>
  <c r="D37" i="1" s="1"/>
  <c r="E37" i="1" l="1"/>
  <c r="F37" i="1" s="1"/>
  <c r="G37" i="1"/>
  <c r="H37" i="1" s="1"/>
  <c r="J36" i="1"/>
  <c r="K36" i="1" s="1"/>
  <c r="L36" i="1" s="1"/>
  <c r="B39" i="1"/>
  <c r="C38" i="1"/>
  <c r="D38" i="1" s="1"/>
  <c r="I37" i="1" l="1"/>
  <c r="J37" i="1"/>
  <c r="K37" i="1" s="1"/>
  <c r="L37" i="1" s="1"/>
  <c r="E38" i="1"/>
  <c r="F38" i="1" s="1"/>
  <c r="G38" i="1"/>
  <c r="H38" i="1" s="1"/>
  <c r="B40" i="1"/>
  <c r="C39" i="1"/>
  <c r="D39" i="1" s="1"/>
  <c r="I38" i="1" l="1"/>
  <c r="J38" i="1"/>
  <c r="K38" i="1" s="1"/>
  <c r="L38" i="1" s="1"/>
  <c r="E39" i="1"/>
  <c r="F39" i="1" s="1"/>
  <c r="G39" i="1"/>
  <c r="H39" i="1" s="1"/>
  <c r="B41" i="1"/>
  <c r="C40" i="1"/>
  <c r="D40" i="1" s="1"/>
  <c r="I39" i="1" l="1"/>
  <c r="J39" i="1"/>
  <c r="K39" i="1" s="1"/>
  <c r="L39" i="1" s="1"/>
  <c r="E40" i="1"/>
  <c r="F40" i="1" s="1"/>
  <c r="G40" i="1"/>
  <c r="H40" i="1" s="1"/>
  <c r="B42" i="1"/>
  <c r="C41" i="1"/>
  <c r="D41" i="1" s="1"/>
  <c r="I40" i="1" l="1"/>
  <c r="J40" i="1"/>
  <c r="K40" i="1" s="1"/>
  <c r="L40" i="1" s="1"/>
  <c r="E41" i="1"/>
  <c r="F41" i="1" s="1"/>
  <c r="G41" i="1"/>
  <c r="H41" i="1" s="1"/>
  <c r="B43" i="1"/>
  <c r="C42" i="1"/>
  <c r="D42" i="1" s="1"/>
  <c r="I41" i="1" l="1"/>
  <c r="J41" i="1"/>
  <c r="K41" i="1" s="1"/>
  <c r="L41" i="1" s="1"/>
  <c r="G42" i="1"/>
  <c r="H42" i="1" s="1"/>
  <c r="E42" i="1"/>
  <c r="F42" i="1" s="1"/>
  <c r="I42" i="1" s="1"/>
  <c r="B44" i="1"/>
  <c r="C43" i="1"/>
  <c r="D43" i="1" s="1"/>
  <c r="J42" i="1" l="1"/>
  <c r="K42" i="1" s="1"/>
  <c r="L42" i="1" s="1"/>
  <c r="G43" i="1"/>
  <c r="H43" i="1" s="1"/>
  <c r="E43" i="1"/>
  <c r="F43" i="1" s="1"/>
  <c r="I43" i="1" s="1"/>
  <c r="B45" i="1"/>
  <c r="C44" i="1"/>
  <c r="D44" i="1" s="1"/>
  <c r="J43" i="1" l="1"/>
  <c r="K43" i="1" s="1"/>
  <c r="L43" i="1" s="1"/>
  <c r="G44" i="1"/>
  <c r="H44" i="1" s="1"/>
  <c r="E44" i="1"/>
  <c r="F44" i="1" s="1"/>
  <c r="I44" i="1" s="1"/>
  <c r="B46" i="1"/>
  <c r="C45" i="1"/>
  <c r="D45" i="1" s="1"/>
  <c r="J44" i="1" l="1"/>
  <c r="K44" i="1" s="1"/>
  <c r="L44" i="1" s="1"/>
  <c r="G45" i="1"/>
  <c r="H45" i="1" s="1"/>
  <c r="E45" i="1"/>
  <c r="F45" i="1" s="1"/>
  <c r="I45" i="1" s="1"/>
  <c r="B47" i="1"/>
  <c r="C47" i="1" s="1"/>
  <c r="D47" i="1" s="1"/>
  <c r="C46" i="1"/>
  <c r="D46" i="1" s="1"/>
  <c r="J45" i="1" l="1"/>
  <c r="K45" i="1" s="1"/>
  <c r="L45" i="1" s="1"/>
  <c r="E46" i="1"/>
  <c r="F46" i="1" s="1"/>
  <c r="G46" i="1"/>
  <c r="H46" i="1" s="1"/>
  <c r="E47" i="1"/>
  <c r="F47" i="1" s="1"/>
  <c r="G47" i="1"/>
  <c r="H47" i="1" s="1"/>
  <c r="I47" i="1" l="1"/>
  <c r="I46" i="1"/>
  <c r="J46" i="1"/>
  <c r="K46" i="1" s="1"/>
  <c r="L46" i="1" s="1"/>
  <c r="J47" i="1"/>
  <c r="K47" i="1" s="1"/>
  <c r="L47" i="1" s="1"/>
</calcChain>
</file>

<file path=xl/sharedStrings.xml><?xml version="1.0" encoding="utf-8"?>
<sst xmlns="http://schemas.openxmlformats.org/spreadsheetml/2006/main" count="40" uniqueCount="37">
  <si>
    <t xml:space="preserve">Ship main particulars </t>
  </si>
  <si>
    <t>L</t>
  </si>
  <si>
    <t>m</t>
  </si>
  <si>
    <t xml:space="preserve">Ship length </t>
  </si>
  <si>
    <t>Wave heading  ⁡𝛽</t>
  </si>
  <si>
    <r>
      <t>B</t>
    </r>
    <r>
      <rPr>
        <sz val="7"/>
        <color theme="1"/>
        <rFont val="Calibri"/>
        <family val="2"/>
        <scheme val="minor"/>
      </rPr>
      <t>0</t>
    </r>
  </si>
  <si>
    <t>maximum waterline breadth</t>
  </si>
  <si>
    <t>T</t>
  </si>
  <si>
    <t>Draught</t>
  </si>
  <si>
    <r>
      <t>C</t>
    </r>
    <r>
      <rPr>
        <sz val="8"/>
        <color theme="1"/>
        <rFont val="Calibri"/>
        <family val="2"/>
        <scheme val="minor"/>
      </rPr>
      <t>b</t>
    </r>
  </si>
  <si>
    <t>Block Coefficient</t>
  </si>
  <si>
    <t>V</t>
  </si>
  <si>
    <t>knot</t>
  </si>
  <si>
    <t>Max forward speed</t>
  </si>
  <si>
    <t>𝜌</t>
  </si>
  <si>
    <t>kg/m^3</t>
  </si>
  <si>
    <t xml:space="preserve">water density </t>
  </si>
  <si>
    <t>⁡𝛽</t>
  </si>
  <si>
    <t xml:space="preserve"> degree</t>
  </si>
  <si>
    <t xml:space="preserve">wave Heading  </t>
  </si>
  <si>
    <t>h</t>
  </si>
  <si>
    <t>wave height</t>
  </si>
  <si>
    <t>Fn</t>
  </si>
  <si>
    <t>𝜗</t>
  </si>
  <si>
    <t xml:space="preserve"> 𝐹_𝑉 (𝐹𝑛)</t>
  </si>
  <si>
    <t>ω (rad/sec)</t>
  </si>
  <si>
    <t>𝜆 (m)</t>
  </si>
  <si>
    <t>K</t>
  </si>
  <si>
    <t>𝑘_𝑒</t>
  </si>
  <si>
    <t>𝜅</t>
  </si>
  <si>
    <t>𝛼</t>
  </si>
  <si>
    <t>𝐹_𝐶 (𝐶_𝑏 )</t>
  </si>
  <si>
    <t>Φ_M/(𝜌𝑔𝐵_0 𝐿^2 )</t>
  </si>
  <si>
    <t>Φ_M (N.m/m)</t>
  </si>
  <si>
    <t>Φ_M (MN.m/m)</t>
  </si>
  <si>
    <t>Φ_M (MN.m)</t>
  </si>
  <si>
    <t xml:space="preserve">Wave length = Ship length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</si>
</sst>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3" borderId="8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0" fillId="4" borderId="17" xfId="0" applyFill="1" applyBorder="1"/>
    <xf numFmtId="0" fontId="0" fillId="4" borderId="18" xfId="0" applyFill="1" applyBorder="1"/>
    <xf numFmtId="0" fontId="0" fillId="4" borderId="1" xfId="0" applyFill="1" applyBorder="1"/>
    <xf numFmtId="0" fontId="0" fillId="4" borderId="11" xfId="0" applyFill="1" applyBorder="1"/>
    <xf numFmtId="0" fontId="0" fillId="4" borderId="12" xfId="0" applyFill="1" applyBorder="1"/>
    <xf numFmtId="0" fontId="4" fillId="4" borderId="12" xfId="0" applyFont="1" applyFill="1" applyBorder="1" applyAlignment="1">
      <alignment horizontal="left"/>
    </xf>
    <xf numFmtId="0" fontId="3" fillId="3" borderId="11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4" borderId="19" xfId="0" applyFill="1" applyBorder="1"/>
    <xf numFmtId="0" fontId="0" fillId="4" borderId="16" xfId="0" applyFill="1" applyBorder="1"/>
    <xf numFmtId="0" fontId="0" fillId="4" borderId="20" xfId="0" applyFill="1" applyBorder="1"/>
    <xf numFmtId="0" fontId="0" fillId="0" borderId="2" xfId="0" applyBorder="1"/>
    <xf numFmtId="0" fontId="5" fillId="4" borderId="2" xfId="0" applyFont="1" applyFill="1" applyBorder="1"/>
    <xf numFmtId="0" fontId="0" fillId="3" borderId="9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Bending Moment Transfer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Calculations!$B$15:$B$48</c:f>
              <c:numCache>
                <c:formatCode>General</c:formatCode>
                <c:ptCount val="34"/>
                <c:pt idx="0">
                  <c:v>6.1093434529377599E-2</c:v>
                </c:pt>
                <c:pt idx="1">
                  <c:v>0.1221868690587552</c:v>
                </c:pt>
                <c:pt idx="2">
                  <c:v>0.1832803035881328</c:v>
                </c:pt>
                <c:pt idx="3">
                  <c:v>0.2443737381175104</c:v>
                </c:pt>
                <c:pt idx="4">
                  <c:v>0.305467172646888</c:v>
                </c:pt>
                <c:pt idx="5">
                  <c:v>0.3665606071762656</c:v>
                </c:pt>
                <c:pt idx="6">
                  <c:v>0.4276540417056432</c:v>
                </c:pt>
                <c:pt idx="7">
                  <c:v>0.48874747623502079</c:v>
                </c:pt>
                <c:pt idx="8">
                  <c:v>0.54984091076439845</c:v>
                </c:pt>
                <c:pt idx="9">
                  <c:v>0.6109343452937761</c:v>
                </c:pt>
                <c:pt idx="10">
                  <c:v>0.67202777982315376</c:v>
                </c:pt>
                <c:pt idx="11">
                  <c:v>0.73312121435253141</c:v>
                </c:pt>
                <c:pt idx="12">
                  <c:v>0.79421464888190907</c:v>
                </c:pt>
                <c:pt idx="13">
                  <c:v>0.85530808341128672</c:v>
                </c:pt>
                <c:pt idx="14">
                  <c:v>0.91640151794066438</c:v>
                </c:pt>
                <c:pt idx="15">
                  <c:v>0.97749495247004203</c:v>
                </c:pt>
                <c:pt idx="16">
                  <c:v>1.0385883869994197</c:v>
                </c:pt>
                <c:pt idx="17">
                  <c:v>1.0996818215287973</c:v>
                </c:pt>
                <c:pt idx="18">
                  <c:v>1.160775256058175</c:v>
                </c:pt>
                <c:pt idx="19">
                  <c:v>1.2218686905875527</c:v>
                </c:pt>
                <c:pt idx="20">
                  <c:v>1.2829621251169303</c:v>
                </c:pt>
                <c:pt idx="21">
                  <c:v>1.344055559646308</c:v>
                </c:pt>
                <c:pt idx="22">
                  <c:v>1.4051489941756856</c:v>
                </c:pt>
                <c:pt idx="23">
                  <c:v>1.4662424287050633</c:v>
                </c:pt>
                <c:pt idx="24">
                  <c:v>1.5273358632344409</c:v>
                </c:pt>
                <c:pt idx="25">
                  <c:v>1.5884292977638186</c:v>
                </c:pt>
                <c:pt idx="26">
                  <c:v>1.6495227322931962</c:v>
                </c:pt>
                <c:pt idx="27">
                  <c:v>1.7106161668225739</c:v>
                </c:pt>
                <c:pt idx="28">
                  <c:v>1.7717096013519515</c:v>
                </c:pt>
                <c:pt idx="29">
                  <c:v>1.8328030358813292</c:v>
                </c:pt>
                <c:pt idx="30">
                  <c:v>1.8938964704107069</c:v>
                </c:pt>
                <c:pt idx="31">
                  <c:v>1.9549899049400845</c:v>
                </c:pt>
                <c:pt idx="32">
                  <c:v>2.0160833394694619</c:v>
                </c:pt>
                <c:pt idx="33">
                  <c:v>2.0771767739988385</c:v>
                </c:pt>
              </c:numCache>
            </c:numRef>
          </c:xVal>
          <c:yVal>
            <c:numRef>
              <c:f>Calculations!$K$15:$K$48</c:f>
              <c:numCache>
                <c:formatCode>General</c:formatCode>
                <c:ptCount val="34"/>
                <c:pt idx="0">
                  <c:v>1.3665404448451601E-2</c:v>
                </c:pt>
                <c:pt idx="1">
                  <c:v>0.23381356807260434</c:v>
                </c:pt>
                <c:pt idx="2">
                  <c:v>1.2531692551311835</c:v>
                </c:pt>
                <c:pt idx="3">
                  <c:v>4.1478413453375538</c:v>
                </c:pt>
                <c:pt idx="4">
                  <c:v>10.474329650055367</c:v>
                </c:pt>
                <c:pt idx="5">
                  <c:v>22.137995583834563</c:v>
                </c:pt>
                <c:pt idx="6">
                  <c:v>41.070999752671142</c:v>
                </c:pt>
                <c:pt idx="7">
                  <c:v>68.674065102729614</c:v>
                </c:pt>
                <c:pt idx="8">
                  <c:v>105.03542681629978</c:v>
                </c:pt>
                <c:pt idx="9">
                  <c:v>148.05416572572119</c:v>
                </c:pt>
                <c:pt idx="10">
                  <c:v>192.75438356097408</c:v>
                </c:pt>
                <c:pt idx="11">
                  <c:v>231.23045601370444</c:v>
                </c:pt>
                <c:pt idx="12">
                  <c:v>253.7076959487739</c:v>
                </c:pt>
                <c:pt idx="13">
                  <c:v>250.99825386132957</c:v>
                </c:pt>
                <c:pt idx="14">
                  <c:v>218.07788506518676</c:v>
                </c:pt>
                <c:pt idx="15">
                  <c:v>157.66948856469543</c:v>
                </c:pt>
                <c:pt idx="16">
                  <c:v>81.949110336596775</c:v>
                </c:pt>
                <c:pt idx="17">
                  <c:v>10.427625772774794</c:v>
                </c:pt>
                <c:pt idx="18">
                  <c:v>-36.667506265959254</c:v>
                </c:pt>
                <c:pt idx="19">
                  <c:v>-47.57001278108747</c:v>
                </c:pt>
                <c:pt idx="20">
                  <c:v>-26.002226769612886</c:v>
                </c:pt>
                <c:pt idx="21">
                  <c:v>9.3030898788930916</c:v>
                </c:pt>
                <c:pt idx="22">
                  <c:v>34.527136876077201</c:v>
                </c:pt>
                <c:pt idx="23">
                  <c:v>35.346953224204356</c:v>
                </c:pt>
                <c:pt idx="24">
                  <c:v>15.990325240016784</c:v>
                </c:pt>
                <c:pt idx="25">
                  <c:v>-5.4260089715502478</c:v>
                </c:pt>
                <c:pt idx="26">
                  <c:v>-12.800318649605526</c:v>
                </c:pt>
                <c:pt idx="27">
                  <c:v>-5.426535814889033</c:v>
                </c:pt>
                <c:pt idx="28">
                  <c:v>4.2367897681580695</c:v>
                </c:pt>
                <c:pt idx="29">
                  <c:v>5.8272502518838989</c:v>
                </c:pt>
                <c:pt idx="30">
                  <c:v>1.5558542870325627</c:v>
                </c:pt>
                <c:pt idx="31">
                  <c:v>-0.43700372907922586</c:v>
                </c:pt>
                <c:pt idx="32">
                  <c:v>0.79465818223160467</c:v>
                </c:pt>
                <c:pt idx="33">
                  <c:v>-0.43627123413658508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93-4A89-96D6-CB04778CD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573824"/>
        <c:axId val="517191792"/>
      </c:scatterChart>
      <c:valAx>
        <c:axId val="42357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ω </a:t>
                </a:r>
                <a:r>
                  <a:rPr lang="en-US"/>
                  <a:t>(rad/sec)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17191792"/>
        <c:crosses val="autoZero"/>
        <c:crossBetween val="midCat"/>
      </c:valAx>
      <c:valAx>
        <c:axId val="51719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Bending moment transfer function (MN.m per unit wave amplitude)</a:t>
                </a:r>
              </a:p>
            </c:rich>
          </c:tx>
          <c:layout>
            <c:manualLayout>
              <c:xMode val="edge"/>
              <c:yMode val="edge"/>
              <c:x val="2.1304926764314249E-2"/>
              <c:y val="0.16410970367834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357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160" b="0" i="0" u="none" strike="noStrike" baseline="0">
                <a:effectLst/>
              </a:rPr>
              <a:t>Wave Induced Bending Moment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Calculations!$B$15:$B$48</c:f>
              <c:numCache>
                <c:formatCode>General</c:formatCode>
                <c:ptCount val="34"/>
                <c:pt idx="0">
                  <c:v>6.1093434529377599E-2</c:v>
                </c:pt>
                <c:pt idx="1">
                  <c:v>0.1221868690587552</c:v>
                </c:pt>
                <c:pt idx="2">
                  <c:v>0.1832803035881328</c:v>
                </c:pt>
                <c:pt idx="3">
                  <c:v>0.2443737381175104</c:v>
                </c:pt>
                <c:pt idx="4">
                  <c:v>0.305467172646888</c:v>
                </c:pt>
                <c:pt idx="5">
                  <c:v>0.3665606071762656</c:v>
                </c:pt>
                <c:pt idx="6">
                  <c:v>0.4276540417056432</c:v>
                </c:pt>
                <c:pt idx="7">
                  <c:v>0.48874747623502079</c:v>
                </c:pt>
                <c:pt idx="8">
                  <c:v>0.54984091076439845</c:v>
                </c:pt>
                <c:pt idx="9">
                  <c:v>0.6109343452937761</c:v>
                </c:pt>
                <c:pt idx="10">
                  <c:v>0.67202777982315376</c:v>
                </c:pt>
                <c:pt idx="11">
                  <c:v>0.73312121435253141</c:v>
                </c:pt>
                <c:pt idx="12">
                  <c:v>0.79421464888190907</c:v>
                </c:pt>
                <c:pt idx="13">
                  <c:v>0.85530808341128672</c:v>
                </c:pt>
                <c:pt idx="14">
                  <c:v>0.91640151794066438</c:v>
                </c:pt>
                <c:pt idx="15">
                  <c:v>0.97749495247004203</c:v>
                </c:pt>
                <c:pt idx="16">
                  <c:v>1.0385883869994197</c:v>
                </c:pt>
                <c:pt idx="17">
                  <c:v>1.0996818215287973</c:v>
                </c:pt>
                <c:pt idx="18">
                  <c:v>1.160775256058175</c:v>
                </c:pt>
                <c:pt idx="19">
                  <c:v>1.2218686905875527</c:v>
                </c:pt>
                <c:pt idx="20">
                  <c:v>1.2829621251169303</c:v>
                </c:pt>
                <c:pt idx="21">
                  <c:v>1.344055559646308</c:v>
                </c:pt>
                <c:pt idx="22">
                  <c:v>1.4051489941756856</c:v>
                </c:pt>
                <c:pt idx="23">
                  <c:v>1.4662424287050633</c:v>
                </c:pt>
                <c:pt idx="24">
                  <c:v>1.5273358632344409</c:v>
                </c:pt>
                <c:pt idx="25">
                  <c:v>1.5884292977638186</c:v>
                </c:pt>
                <c:pt idx="26">
                  <c:v>1.6495227322931962</c:v>
                </c:pt>
                <c:pt idx="27">
                  <c:v>1.7106161668225739</c:v>
                </c:pt>
                <c:pt idx="28">
                  <c:v>1.7717096013519515</c:v>
                </c:pt>
                <c:pt idx="29">
                  <c:v>1.8328030358813292</c:v>
                </c:pt>
                <c:pt idx="30">
                  <c:v>1.8938964704107069</c:v>
                </c:pt>
                <c:pt idx="31">
                  <c:v>1.9549899049400845</c:v>
                </c:pt>
                <c:pt idx="32">
                  <c:v>2.0160833394694619</c:v>
                </c:pt>
                <c:pt idx="33">
                  <c:v>2.0771767739988385</c:v>
                </c:pt>
              </c:numCache>
            </c:numRef>
          </c:xVal>
          <c:yVal>
            <c:numRef>
              <c:f>Calculations!$L$15:$L$48</c:f>
              <c:numCache>
                <c:formatCode>General</c:formatCode>
                <c:ptCount val="34"/>
                <c:pt idx="0">
                  <c:v>2.7330808896903203E-2</c:v>
                </c:pt>
                <c:pt idx="1">
                  <c:v>0.46762713614520868</c:v>
                </c:pt>
                <c:pt idx="2">
                  <c:v>2.506338510262367</c:v>
                </c:pt>
                <c:pt idx="3">
                  <c:v>8.2956826906751076</c:v>
                </c:pt>
                <c:pt idx="4">
                  <c:v>20.948659300110734</c:v>
                </c:pt>
                <c:pt idx="5">
                  <c:v>44.275991167669126</c:v>
                </c:pt>
                <c:pt idx="6">
                  <c:v>82.141999505342284</c:v>
                </c:pt>
                <c:pt idx="7">
                  <c:v>137.34813020545923</c:v>
                </c:pt>
                <c:pt idx="8">
                  <c:v>210.07085363259955</c:v>
                </c:pt>
                <c:pt idx="9">
                  <c:v>296.10833145144238</c:v>
                </c:pt>
                <c:pt idx="10">
                  <c:v>385.50876712194815</c:v>
                </c:pt>
                <c:pt idx="11">
                  <c:v>462.46091202740888</c:v>
                </c:pt>
                <c:pt idx="12">
                  <c:v>507.41539189754781</c:v>
                </c:pt>
                <c:pt idx="13">
                  <c:v>501.99650772265915</c:v>
                </c:pt>
                <c:pt idx="14">
                  <c:v>436.15577013037353</c:v>
                </c:pt>
                <c:pt idx="15">
                  <c:v>315.33897712939086</c:v>
                </c:pt>
                <c:pt idx="16">
                  <c:v>163.89822067319355</c:v>
                </c:pt>
                <c:pt idx="17">
                  <c:v>20.855251545549589</c:v>
                </c:pt>
                <c:pt idx="18">
                  <c:v>-73.335012531918508</c:v>
                </c:pt>
                <c:pt idx="19">
                  <c:v>-95.140025562174941</c:v>
                </c:pt>
                <c:pt idx="20">
                  <c:v>-52.004453539225771</c:v>
                </c:pt>
                <c:pt idx="21">
                  <c:v>18.606179757786183</c:v>
                </c:pt>
                <c:pt idx="22">
                  <c:v>69.054273752154401</c:v>
                </c:pt>
                <c:pt idx="23">
                  <c:v>70.693906448408711</c:v>
                </c:pt>
                <c:pt idx="24">
                  <c:v>31.980650480033567</c:v>
                </c:pt>
                <c:pt idx="25">
                  <c:v>-10.852017943100496</c:v>
                </c:pt>
                <c:pt idx="26">
                  <c:v>-25.600637299211051</c:v>
                </c:pt>
                <c:pt idx="27">
                  <c:v>-10.853071629778066</c:v>
                </c:pt>
                <c:pt idx="28">
                  <c:v>8.473579536316139</c:v>
                </c:pt>
                <c:pt idx="29">
                  <c:v>11.654500503767798</c:v>
                </c:pt>
                <c:pt idx="30">
                  <c:v>3.1117085740651254</c:v>
                </c:pt>
                <c:pt idx="31">
                  <c:v>-0.87400745815845171</c:v>
                </c:pt>
                <c:pt idx="32">
                  <c:v>1.5893163644632093</c:v>
                </c:pt>
                <c:pt idx="33">
                  <c:v>-0.87254246827317017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C8-4CCD-83D4-5B01D8924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573824"/>
        <c:axId val="517191792"/>
      </c:scatterChart>
      <c:valAx>
        <c:axId val="42357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ω </a:t>
                </a:r>
                <a:r>
                  <a:rPr lang="en-US"/>
                  <a:t>(rad/sec)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17191792"/>
        <c:crosses val="autoZero"/>
        <c:crossBetween val="midCat"/>
      </c:valAx>
      <c:valAx>
        <c:axId val="51719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 Induced Bending Moment</a:t>
                </a:r>
              </a:p>
              <a:p>
                <a:pPr>
                  <a:defRPr/>
                </a:pPr>
                <a:r>
                  <a:rPr lang="en-US"/>
                  <a:t>(MN.m )</a:t>
                </a:r>
              </a:p>
            </c:rich>
          </c:tx>
          <c:layout>
            <c:manualLayout>
              <c:xMode val="edge"/>
              <c:yMode val="edge"/>
              <c:x val="2.1304926764314249E-2"/>
              <c:y val="0.16410970367834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357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107496</xdr:rowOff>
    </xdr:from>
    <xdr:to>
      <xdr:col>10</xdr:col>
      <xdr:colOff>81643</xdr:colOff>
      <xdr:row>42</xdr:row>
      <xdr:rowOff>100693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474232-F177-4393-BB72-6D1AF39FB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560295</xdr:colOff>
      <xdr:row>20</xdr:row>
      <xdr:rowOff>80282</xdr:rowOff>
    </xdr:from>
    <xdr:to>
      <xdr:col>21</xdr:col>
      <xdr:colOff>449035</xdr:colOff>
      <xdr:row>42</xdr:row>
      <xdr:rowOff>40822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E7733D-0F7B-4581-A5FC-5BE0B1127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419100</xdr:colOff>
      <xdr:row>4</xdr:row>
      <xdr:rowOff>133350</xdr:rowOff>
    </xdr:from>
    <xdr:to>
      <xdr:col>18</xdr:col>
      <xdr:colOff>114300</xdr:colOff>
      <xdr:row>19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8B8035-384A-4A82-B84C-A27AB36627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7"/>
        <a:stretch/>
      </xdr:blipFill>
      <xdr:spPr bwMode="auto">
        <a:xfrm>
          <a:off x="6953250" y="923925"/>
          <a:ext cx="4572000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57150</xdr:rowOff>
    </xdr:from>
    <xdr:to>
      <xdr:col>10</xdr:col>
      <xdr:colOff>776234</xdr:colOff>
      <xdr:row>3</xdr:row>
      <xdr:rowOff>123265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DC7BD5-A37C-496A-BB9B-7F4E494A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001" y="57150"/>
          <a:ext cx="7185439" cy="637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557892</xdr:colOff>
      <xdr:row>0</xdr:row>
      <xdr:rowOff>149679</xdr:rowOff>
    </xdr:from>
    <xdr:to>
      <xdr:col>25</xdr:col>
      <xdr:colOff>217714</xdr:colOff>
      <xdr:row>23</xdr:row>
      <xdr:rowOff>0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7B85444F-17BE-4197-B855-FD144F819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0912928" y="149679"/>
          <a:ext cx="7620000" cy="4286250"/>
        </a:xfrm>
        <a:prstGeom prst="rect">
          <a:avLst/>
        </a:prstGeom>
      </xdr:spPr>
    </xdr:pic>
    <xdr:clientData/>
  </xdr:twoCellAnchor>
  <xdr:twoCellAnchor editAs="oneCell">
    <xdr:from>
      <xdr:col>12</xdr:col>
      <xdr:colOff>585107</xdr:colOff>
      <xdr:row>23</xdr:row>
      <xdr:rowOff>81643</xdr:rowOff>
    </xdr:from>
    <xdr:to>
      <xdr:col>25</xdr:col>
      <xdr:colOff>244929</xdr:colOff>
      <xdr:row>45</xdr:row>
      <xdr:rowOff>176893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53313BA7-CAC8-4EE4-AE1E-BA08B7714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40143" y="4517572"/>
          <a:ext cx="7620000" cy="428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813B-B6EE-4F7C-A5B9-20A63F5625C5}">
  <dimension ref="B1:P13"/>
  <sheetViews>
    <sheetView tabSelected="1" zoomScaleNormal="100" workbookViewId="0">
      <selection activeCell="J15" sqref="J15"/>
    </sheetView>
  </sheetViews>
  <sheetFormatPr defaultRowHeight="14.5" x14ac:dyDescent="0.35"/>
  <cols>
    <col min="2" max="2" width="15.7265625" bestFit="1" customWidth="1"/>
  </cols>
  <sheetData>
    <row r="1" spans="2:16" ht="15" thickBot="1" x14ac:dyDescent="0.4"/>
    <row r="2" spans="2:16" ht="15" thickBot="1" x14ac:dyDescent="0.4">
      <c r="B2" s="48" t="s">
        <v>0</v>
      </c>
      <c r="C2" s="49"/>
      <c r="D2" s="49"/>
      <c r="E2" s="49"/>
      <c r="F2" s="49"/>
      <c r="G2" s="50"/>
    </row>
    <row r="3" spans="2:16" ht="15" thickBot="1" x14ac:dyDescent="0.4">
      <c r="B3" s="2" t="s">
        <v>1</v>
      </c>
      <c r="C3" s="5">
        <v>100</v>
      </c>
      <c r="D3" s="34" t="s">
        <v>2</v>
      </c>
      <c r="E3" s="51" t="s">
        <v>3</v>
      </c>
      <c r="F3" s="51"/>
      <c r="G3" s="52"/>
      <c r="M3" s="45" t="s">
        <v>4</v>
      </c>
      <c r="N3" s="46"/>
      <c r="O3" s="46"/>
      <c r="P3" s="47"/>
    </row>
    <row r="4" spans="2:16" x14ac:dyDescent="0.35">
      <c r="B4" s="3" t="s">
        <v>5</v>
      </c>
      <c r="C4" s="6">
        <v>20</v>
      </c>
      <c r="D4" s="35" t="s">
        <v>2</v>
      </c>
      <c r="E4" s="40" t="s">
        <v>6</v>
      </c>
      <c r="F4" s="40"/>
      <c r="G4" s="41"/>
    </row>
    <row r="5" spans="2:16" x14ac:dyDescent="0.35">
      <c r="B5" s="3" t="s">
        <v>7</v>
      </c>
      <c r="C5" s="6">
        <v>2.5</v>
      </c>
      <c r="D5" s="35" t="s">
        <v>2</v>
      </c>
      <c r="E5" s="40" t="s">
        <v>8</v>
      </c>
      <c r="F5" s="40"/>
      <c r="G5" s="41"/>
    </row>
    <row r="6" spans="2:16" x14ac:dyDescent="0.35">
      <c r="B6" s="3" t="s">
        <v>9</v>
      </c>
      <c r="C6" s="6">
        <v>0.75</v>
      </c>
      <c r="D6" s="35"/>
      <c r="E6" s="42" t="s">
        <v>10</v>
      </c>
      <c r="F6" s="43"/>
      <c r="G6" s="44"/>
    </row>
    <row r="7" spans="2:16" x14ac:dyDescent="0.35">
      <c r="B7" s="3" t="s">
        <v>11</v>
      </c>
      <c r="C7" s="8">
        <v>30</v>
      </c>
      <c r="D7" s="35" t="s">
        <v>12</v>
      </c>
      <c r="E7" s="42" t="s">
        <v>13</v>
      </c>
      <c r="F7" s="43"/>
      <c r="G7" s="44"/>
    </row>
    <row r="8" spans="2:16" ht="15" thickBot="1" x14ac:dyDescent="0.4">
      <c r="B8" s="4" t="s">
        <v>14</v>
      </c>
      <c r="C8" s="7">
        <v>1025</v>
      </c>
      <c r="D8" s="36" t="s">
        <v>15</v>
      </c>
      <c r="E8" s="53" t="s">
        <v>16</v>
      </c>
      <c r="F8" s="53"/>
      <c r="G8" s="54"/>
    </row>
    <row r="11" spans="2:16" ht="15" thickBot="1" x14ac:dyDescent="0.4"/>
    <row r="12" spans="2:16" ht="15" thickBot="1" x14ac:dyDescent="0.4">
      <c r="B12" s="12" t="s">
        <v>17</v>
      </c>
      <c r="C12" s="14">
        <v>180</v>
      </c>
      <c r="D12" s="13" t="s">
        <v>18</v>
      </c>
      <c r="E12" s="38" t="s">
        <v>19</v>
      </c>
      <c r="F12" s="38"/>
      <c r="G12" s="39"/>
    </row>
    <row r="13" spans="2:16" ht="15" thickBot="1" x14ac:dyDescent="0.4">
      <c r="B13" s="12" t="s">
        <v>20</v>
      </c>
      <c r="C13" s="14">
        <v>4</v>
      </c>
      <c r="D13" s="13" t="s">
        <v>18</v>
      </c>
      <c r="E13" s="38" t="s">
        <v>21</v>
      </c>
      <c r="F13" s="38"/>
      <c r="G13" s="39"/>
    </row>
  </sheetData>
  <mergeCells count="10">
    <mergeCell ref="E13:G13"/>
    <mergeCell ref="E4:G4"/>
    <mergeCell ref="E6:G6"/>
    <mergeCell ref="M3:P3"/>
    <mergeCell ref="B2:G2"/>
    <mergeCell ref="E3:G3"/>
    <mergeCell ref="E5:G5"/>
    <mergeCell ref="E12:G12"/>
    <mergeCell ref="E8:G8"/>
    <mergeCell ref="E7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730D-1CE2-4986-809A-8507F3BCFBCB}">
  <dimension ref="A1:O51"/>
  <sheetViews>
    <sheetView topLeftCell="A34" zoomScale="85" zoomScaleNormal="85" workbookViewId="0">
      <selection activeCell="I22" sqref="I22"/>
    </sheetView>
  </sheetViews>
  <sheetFormatPr defaultRowHeight="14.5" x14ac:dyDescent="0.35"/>
  <cols>
    <col min="1" max="1" width="25" customWidth="1"/>
    <col min="2" max="2" width="11.1796875" customWidth="1"/>
    <col min="5" max="6" width="9.1796875" customWidth="1"/>
    <col min="8" max="8" width="12.81640625" bestFit="1" customWidth="1"/>
    <col min="9" max="9" width="17.7265625" bestFit="1" customWidth="1"/>
    <col min="10" max="10" width="13.7265625" bestFit="1" customWidth="1"/>
    <col min="11" max="11" width="15.26953125" bestFit="1" customWidth="1"/>
    <col min="12" max="12" width="13.453125" bestFit="1" customWidth="1"/>
  </cols>
  <sheetData>
    <row r="1" spans="2:15" x14ac:dyDescent="0.35"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  <c r="M1" s="1"/>
      <c r="N1" s="1"/>
      <c r="O1" s="1"/>
    </row>
    <row r="2" spans="2:15" x14ac:dyDescent="0.35">
      <c r="B2" s="55"/>
      <c r="C2" s="55"/>
      <c r="D2" s="55"/>
      <c r="E2" s="55"/>
      <c r="F2" s="55"/>
      <c r="G2" s="55"/>
      <c r="H2" s="55"/>
      <c r="I2" s="55"/>
      <c r="J2" s="55"/>
      <c r="K2" s="55"/>
      <c r="L2" s="1"/>
      <c r="M2" s="1"/>
      <c r="N2" s="1"/>
      <c r="O2" s="1"/>
    </row>
    <row r="3" spans="2:15" x14ac:dyDescent="0.35">
      <c r="B3" s="55"/>
      <c r="C3" s="55"/>
      <c r="D3" s="55"/>
      <c r="E3" s="55"/>
      <c r="F3" s="55"/>
      <c r="G3" s="55"/>
      <c r="H3" s="55"/>
      <c r="I3" s="55"/>
      <c r="J3" s="55"/>
      <c r="K3" s="55"/>
      <c r="L3" s="1"/>
      <c r="M3" s="1"/>
      <c r="N3" s="1"/>
      <c r="O3" s="1"/>
    </row>
    <row r="4" spans="2:15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6" spans="2:15" x14ac:dyDescent="0.35">
      <c r="B6" s="55"/>
      <c r="C6" s="55"/>
      <c r="D6" s="55"/>
      <c r="E6" s="55"/>
      <c r="F6" s="55"/>
      <c r="G6" s="55"/>
    </row>
    <row r="8" spans="2:15" ht="15" thickBot="1" x14ac:dyDescent="0.4">
      <c r="E8" s="56"/>
      <c r="F8" s="56"/>
      <c r="G8" s="56"/>
    </row>
    <row r="9" spans="2:15" x14ac:dyDescent="0.35">
      <c r="B9" s="26" t="s">
        <v>22</v>
      </c>
      <c r="C9" s="29">
        <f>CONVERT('Inputs and Results'!C7,"kn","m/sec")/SQRT(9.81*'Inputs and Results'!$C$3)</f>
        <v>0.49274841117488122</v>
      </c>
      <c r="E9" s="56"/>
      <c r="F9" s="56"/>
      <c r="G9" s="56"/>
    </row>
    <row r="10" spans="2:15" x14ac:dyDescent="0.35">
      <c r="B10" s="27" t="s">
        <v>23</v>
      </c>
      <c r="C10" s="30">
        <f>2.5*(1-MAX('Inputs and Results'!C6,0.6))</f>
        <v>0.625</v>
      </c>
      <c r="E10" s="37"/>
      <c r="F10" s="37"/>
      <c r="G10" s="37"/>
    </row>
    <row r="11" spans="2:15" ht="15" thickBot="1" x14ac:dyDescent="0.4">
      <c r="B11" s="28" t="s">
        <v>24</v>
      </c>
      <c r="C11" s="31">
        <f>1+3*C9^2</f>
        <v>1.7284029901461095</v>
      </c>
    </row>
    <row r="13" spans="2:15" ht="15" thickBot="1" x14ac:dyDescent="0.4"/>
    <row r="14" spans="2:15" ht="15" thickBot="1" x14ac:dyDescent="0.4">
      <c r="B14" s="15" t="s">
        <v>25</v>
      </c>
      <c r="C14" s="16" t="s">
        <v>26</v>
      </c>
      <c r="D14" s="16" t="s">
        <v>27</v>
      </c>
      <c r="E14" s="16" t="s">
        <v>28</v>
      </c>
      <c r="F14" s="16" t="s">
        <v>29</v>
      </c>
      <c r="G14" s="16" t="s">
        <v>30</v>
      </c>
      <c r="H14" s="16" t="s">
        <v>31</v>
      </c>
      <c r="I14" s="16" t="s">
        <v>32</v>
      </c>
      <c r="J14" s="16" t="s">
        <v>33</v>
      </c>
      <c r="K14" s="16" t="s">
        <v>34</v>
      </c>
      <c r="L14" s="17" t="s">
        <v>35</v>
      </c>
    </row>
    <row r="15" spans="2:15" x14ac:dyDescent="0.35">
      <c r="B15" s="18">
        <f>(B48)/34</f>
        <v>6.1093434529377599E-2</v>
      </c>
      <c r="C15" s="19">
        <f>9.81*(2*PI()/B15)^2/(2*PI())</f>
        <v>16514.285714285717</v>
      </c>
      <c r="D15" s="19">
        <f>2*PI()/C15</f>
        <v>3.8046969853163578E-4</v>
      </c>
      <c r="E15" s="19">
        <f t="shared" ref="E15:E48" si="0">ABS(D15*COS(_⁡𝛽*PI()/180))</f>
        <v>3.8046969853163578E-4</v>
      </c>
      <c r="F15" s="19">
        <f t="shared" ref="F15:F48" si="1">EXP(-E15*T)</f>
        <v>0.99904927797650211</v>
      </c>
      <c r="G15" s="19">
        <f t="shared" ref="G15:G48" si="2">1-$C$9*SQRT(D15*L)*COS(_⁡𝛽*PI()/180)</f>
        <v>1.0961136941457759</v>
      </c>
      <c r="H15" s="19">
        <f>((1-$C$10)^2+0.6*G15*(2-$C$10))</f>
        <v>1.044918797670265</v>
      </c>
      <c r="I15" s="19">
        <f t="shared" ref="I15:I48" si="3">F15*(1-D15*T)/(E15*L)^2*(1-COS(E15*L/2)-E15*L/4*SIN(E15*L/2))*$C$11*H15*(ABS(COS(_⁡𝛽*PI()/180)))^(1/3)</f>
        <v>6.795158970911514E-6</v>
      </c>
      <c r="J15" s="19">
        <f t="shared" ref="J15:J48" si="4">I15*_𝜌*9.81*B*L^2</f>
        <v>13665.404448451602</v>
      </c>
      <c r="K15" s="19">
        <f>J15*10^-6</f>
        <v>1.3665404448451601E-2</v>
      </c>
      <c r="L15" s="20">
        <f t="shared" ref="L15:L48" si="5">K15*(h/2)</f>
        <v>2.7330808896903203E-2</v>
      </c>
    </row>
    <row r="16" spans="2:15" x14ac:dyDescent="0.35">
      <c r="B16" s="21">
        <f>B15+$B$15</f>
        <v>0.1221868690587552</v>
      </c>
      <c r="C16" s="11">
        <f t="shared" ref="C16:C47" si="6">9.81*(2*PI()/B16)^2/(2*PI())</f>
        <v>4128.5714285714294</v>
      </c>
      <c r="D16" s="11">
        <f t="shared" ref="D16:D48" si="7">2*PI()/C16</f>
        <v>1.5218787941265431E-3</v>
      </c>
      <c r="E16" s="11">
        <f t="shared" si="0"/>
        <v>1.5218787941265431E-3</v>
      </c>
      <c r="F16" s="11">
        <f t="shared" si="1"/>
        <v>0.99620253170369566</v>
      </c>
      <c r="G16" s="11">
        <f t="shared" si="2"/>
        <v>1.1922273882915517</v>
      </c>
      <c r="H16" s="11">
        <f t="shared" ref="H16:H48" si="8">((1-$C$10)^2+0.6*G16*(2-$C$10))</f>
        <v>1.1242125953405302</v>
      </c>
      <c r="I16" s="19">
        <f t="shared" si="3"/>
        <v>1.1626442309868194E-4</v>
      </c>
      <c r="J16" s="11">
        <f t="shared" si="4"/>
        <v>233813.56807260434</v>
      </c>
      <c r="K16" s="11">
        <f t="shared" ref="K16:K48" si="9">J16*10^-6</f>
        <v>0.23381356807260434</v>
      </c>
      <c r="L16" s="22">
        <f t="shared" si="5"/>
        <v>0.46762713614520868</v>
      </c>
    </row>
    <row r="17" spans="2:12" x14ac:dyDescent="0.35">
      <c r="B17" s="21">
        <f t="shared" ref="B17:B47" si="10">B16+$B$15</f>
        <v>0.1832803035881328</v>
      </c>
      <c r="C17" s="11">
        <f t="shared" si="6"/>
        <v>1834.9206349206349</v>
      </c>
      <c r="D17" s="11">
        <f t="shared" si="7"/>
        <v>3.4242272867847224E-3</v>
      </c>
      <c r="E17" s="11">
        <f t="shared" si="0"/>
        <v>3.4242272867847224E-3</v>
      </c>
      <c r="F17" s="11">
        <f t="shared" si="1"/>
        <v>0.99147596911270119</v>
      </c>
      <c r="G17" s="11">
        <f t="shared" si="2"/>
        <v>1.2883410824373276</v>
      </c>
      <c r="H17" s="11">
        <f t="shared" si="8"/>
        <v>1.2035063930107952</v>
      </c>
      <c r="I17" s="19">
        <f t="shared" si="3"/>
        <v>6.2314176929026313E-4</v>
      </c>
      <c r="J17" s="11">
        <f t="shared" si="4"/>
        <v>1253169.2551311837</v>
      </c>
      <c r="K17" s="11">
        <f t="shared" si="9"/>
        <v>1.2531692551311835</v>
      </c>
      <c r="L17" s="22">
        <f t="shared" si="5"/>
        <v>2.506338510262367</v>
      </c>
    </row>
    <row r="18" spans="2:12" x14ac:dyDescent="0.35">
      <c r="B18" s="21">
        <f t="shared" si="10"/>
        <v>0.2443737381175104</v>
      </c>
      <c r="C18" s="11">
        <f t="shared" si="6"/>
        <v>1032.1428571428573</v>
      </c>
      <c r="D18" s="11">
        <f t="shared" si="7"/>
        <v>6.0875151765061725E-3</v>
      </c>
      <c r="E18" s="11">
        <f t="shared" si="0"/>
        <v>6.0875151765061725E-3</v>
      </c>
      <c r="F18" s="11">
        <f t="shared" si="1"/>
        <v>0.98489643256591108</v>
      </c>
      <c r="G18" s="11">
        <f t="shared" si="2"/>
        <v>1.3844547765831035</v>
      </c>
      <c r="H18" s="11">
        <f t="shared" si="8"/>
        <v>1.2828001906810602</v>
      </c>
      <c r="I18" s="19">
        <f t="shared" si="3"/>
        <v>2.0625252208237256E-3</v>
      </c>
      <c r="J18" s="11">
        <f t="shared" si="4"/>
        <v>4147841.3453375539</v>
      </c>
      <c r="K18" s="11">
        <f t="shared" si="9"/>
        <v>4.1478413453375538</v>
      </c>
      <c r="L18" s="22">
        <f t="shared" si="5"/>
        <v>8.2956826906751076</v>
      </c>
    </row>
    <row r="19" spans="2:12" x14ac:dyDescent="0.35">
      <c r="B19" s="21">
        <f t="shared" si="10"/>
        <v>0.305467172646888</v>
      </c>
      <c r="C19" s="11">
        <f t="shared" si="6"/>
        <v>660.57142857142867</v>
      </c>
      <c r="D19" s="11">
        <f t="shared" si="7"/>
        <v>9.5117424632908953E-3</v>
      </c>
      <c r="E19" s="11">
        <f t="shared" si="0"/>
        <v>9.5117424632908953E-3</v>
      </c>
      <c r="F19" s="11">
        <f t="shared" si="1"/>
        <v>0.97650114495392881</v>
      </c>
      <c r="G19" s="11">
        <f t="shared" si="2"/>
        <v>1.4805684707288793</v>
      </c>
      <c r="H19" s="11">
        <f t="shared" si="8"/>
        <v>1.3620939883513254</v>
      </c>
      <c r="I19" s="19">
        <f t="shared" si="3"/>
        <v>5.20838847868296E-3</v>
      </c>
      <c r="J19" s="11">
        <f t="shared" si="4"/>
        <v>10474329.650055367</v>
      </c>
      <c r="K19" s="11">
        <f t="shared" si="9"/>
        <v>10.474329650055367</v>
      </c>
      <c r="L19" s="22">
        <f t="shared" si="5"/>
        <v>20.948659300110734</v>
      </c>
    </row>
    <row r="20" spans="2:12" x14ac:dyDescent="0.35">
      <c r="B20" s="21">
        <f t="shared" si="10"/>
        <v>0.3665606071762656</v>
      </c>
      <c r="C20" s="11">
        <f t="shared" si="6"/>
        <v>458.73015873015873</v>
      </c>
      <c r="D20" s="11">
        <f t="shared" si="7"/>
        <v>1.369690914713889E-2</v>
      </c>
      <c r="E20" s="11">
        <f t="shared" si="0"/>
        <v>1.369690914713889E-2</v>
      </c>
      <c r="F20" s="11">
        <f t="shared" si="1"/>
        <v>0.96633735895181738</v>
      </c>
      <c r="G20" s="11">
        <f t="shared" si="2"/>
        <v>1.576682164874655</v>
      </c>
      <c r="H20" s="11">
        <f t="shared" si="8"/>
        <v>1.4413877860215902</v>
      </c>
      <c r="I20" s="19">
        <f t="shared" si="3"/>
        <v>1.1008177610618614E-2</v>
      </c>
      <c r="J20" s="11">
        <f t="shared" si="4"/>
        <v>22137995.583834562</v>
      </c>
      <c r="K20" s="11">
        <f t="shared" si="9"/>
        <v>22.137995583834563</v>
      </c>
      <c r="L20" s="22">
        <f t="shared" si="5"/>
        <v>44.275991167669126</v>
      </c>
    </row>
    <row r="21" spans="2:12" x14ac:dyDescent="0.35">
      <c r="B21" s="21">
        <f t="shared" si="10"/>
        <v>0.4276540417056432</v>
      </c>
      <c r="C21" s="11">
        <f t="shared" si="6"/>
        <v>337.02623906705549</v>
      </c>
      <c r="D21" s="11">
        <f t="shared" si="7"/>
        <v>1.8643015228050151E-2</v>
      </c>
      <c r="E21" s="11">
        <f t="shared" si="0"/>
        <v>1.8643015228050151E-2</v>
      </c>
      <c r="F21" s="11">
        <f t="shared" si="1"/>
        <v>0.95446191405861935</v>
      </c>
      <c r="G21" s="11">
        <f t="shared" si="2"/>
        <v>1.6727958590204308</v>
      </c>
      <c r="H21" s="11">
        <f t="shared" si="8"/>
        <v>1.5206815836918552</v>
      </c>
      <c r="I21" s="19">
        <f t="shared" si="3"/>
        <v>2.0422664654121552E-2</v>
      </c>
      <c r="J21" s="11">
        <f t="shared" si="4"/>
        <v>41070999.752671145</v>
      </c>
      <c r="K21" s="11">
        <f t="shared" si="9"/>
        <v>41.070999752671142</v>
      </c>
      <c r="L21" s="22">
        <f t="shared" si="5"/>
        <v>82.141999505342284</v>
      </c>
    </row>
    <row r="22" spans="2:12" x14ac:dyDescent="0.35">
      <c r="B22" s="21">
        <f t="shared" si="10"/>
        <v>0.48874747623502079</v>
      </c>
      <c r="C22" s="11">
        <f t="shared" si="6"/>
        <v>258.03571428571433</v>
      </c>
      <c r="D22" s="11">
        <f t="shared" si="7"/>
        <v>2.435006070602469E-2</v>
      </c>
      <c r="E22" s="11">
        <f t="shared" si="0"/>
        <v>2.435006070602469E-2</v>
      </c>
      <c r="F22" s="11">
        <f t="shared" si="1"/>
        <v>0.94094070722953416</v>
      </c>
      <c r="G22" s="11">
        <f t="shared" si="2"/>
        <v>1.7689095531662069</v>
      </c>
      <c r="H22" s="11">
        <f t="shared" si="8"/>
        <v>1.5999753813621207</v>
      </c>
      <c r="I22" s="19">
        <f t="shared" si="3"/>
        <v>3.4148362846637137E-2</v>
      </c>
      <c r="J22" s="11">
        <f t="shared" si="4"/>
        <v>68674065.102729619</v>
      </c>
      <c r="K22" s="11">
        <f t="shared" si="9"/>
        <v>68.674065102729614</v>
      </c>
      <c r="L22" s="22">
        <f t="shared" si="5"/>
        <v>137.34813020545923</v>
      </c>
    </row>
    <row r="23" spans="2:12" x14ac:dyDescent="0.35">
      <c r="B23" s="21">
        <f t="shared" si="10"/>
        <v>0.54984091076439845</v>
      </c>
      <c r="C23" s="11">
        <f t="shared" si="6"/>
        <v>203.88007054673722</v>
      </c>
      <c r="D23" s="11">
        <f t="shared" si="7"/>
        <v>3.0818045581062502E-2</v>
      </c>
      <c r="E23" s="11">
        <f t="shared" si="0"/>
        <v>3.0818045581062502E-2</v>
      </c>
      <c r="F23" s="11">
        <f t="shared" si="1"/>
        <v>0.92584808399767804</v>
      </c>
      <c r="G23" s="11">
        <f t="shared" si="2"/>
        <v>1.8650232473119825</v>
      </c>
      <c r="H23" s="11">
        <f t="shared" si="8"/>
        <v>1.6792691790323855</v>
      </c>
      <c r="I23" s="19">
        <f t="shared" si="3"/>
        <v>5.2229147368936524E-2</v>
      </c>
      <c r="J23" s="11">
        <f t="shared" si="4"/>
        <v>105035426.81629978</v>
      </c>
      <c r="K23" s="11">
        <f t="shared" si="9"/>
        <v>105.03542681629978</v>
      </c>
      <c r="L23" s="22">
        <f t="shared" si="5"/>
        <v>210.07085363259955</v>
      </c>
    </row>
    <row r="24" spans="2:12" x14ac:dyDescent="0.35">
      <c r="B24" s="21">
        <f t="shared" si="10"/>
        <v>0.6109343452937761</v>
      </c>
      <c r="C24" s="11">
        <f t="shared" si="6"/>
        <v>165.14285714285711</v>
      </c>
      <c r="D24" s="11">
        <f t="shared" si="7"/>
        <v>3.8046969853163595E-2</v>
      </c>
      <c r="E24" s="11">
        <f t="shared" si="0"/>
        <v>3.8046969853163595E-2</v>
      </c>
      <c r="F24" s="11">
        <f t="shared" si="1"/>
        <v>0.90926615795444332</v>
      </c>
      <c r="G24" s="11">
        <f t="shared" si="2"/>
        <v>1.9611369414577586</v>
      </c>
      <c r="H24" s="11">
        <f t="shared" si="8"/>
        <v>1.7585629767026507</v>
      </c>
      <c r="I24" s="19">
        <f t="shared" si="3"/>
        <v>7.3620330536645628E-2</v>
      </c>
      <c r="J24" s="11">
        <f t="shared" si="4"/>
        <v>148054165.72572121</v>
      </c>
      <c r="K24" s="11">
        <f t="shared" si="9"/>
        <v>148.05416572572119</v>
      </c>
      <c r="L24" s="22">
        <f t="shared" si="5"/>
        <v>296.10833145144238</v>
      </c>
    </row>
    <row r="25" spans="2:12" x14ac:dyDescent="0.35">
      <c r="B25" s="21">
        <f t="shared" si="10"/>
        <v>0.67202777982315376</v>
      </c>
      <c r="C25" s="11">
        <f t="shared" si="6"/>
        <v>136.48170011806371</v>
      </c>
      <c r="D25" s="11">
        <f t="shared" si="7"/>
        <v>4.6036833522327951E-2</v>
      </c>
      <c r="E25" s="11">
        <f t="shared" si="0"/>
        <v>4.6036833522327951E-2</v>
      </c>
      <c r="F25" s="11">
        <f t="shared" si="1"/>
        <v>0.89128406729894261</v>
      </c>
      <c r="G25" s="11">
        <f t="shared" si="2"/>
        <v>2.0572506356035345</v>
      </c>
      <c r="H25" s="11">
        <f t="shared" si="8"/>
        <v>1.8378567743729159</v>
      </c>
      <c r="I25" s="19">
        <f t="shared" si="3"/>
        <v>9.5847633604820417E-2</v>
      </c>
      <c r="J25" s="11">
        <f t="shared" si="4"/>
        <v>192754383.56097409</v>
      </c>
      <c r="K25" s="11">
        <f t="shared" si="9"/>
        <v>192.75438356097408</v>
      </c>
      <c r="L25" s="22">
        <f t="shared" si="5"/>
        <v>385.50876712194815</v>
      </c>
    </row>
    <row r="26" spans="2:12" x14ac:dyDescent="0.35">
      <c r="B26" s="21">
        <f t="shared" si="10"/>
        <v>0.73312121435253141</v>
      </c>
      <c r="C26" s="11">
        <f t="shared" si="6"/>
        <v>114.68253968253963</v>
      </c>
      <c r="D26" s="11">
        <f t="shared" si="7"/>
        <v>5.4787636588555587E-2</v>
      </c>
      <c r="E26" s="11">
        <f t="shared" si="0"/>
        <v>5.4787636588555587E-2</v>
      </c>
      <c r="F26" s="11">
        <f t="shared" si="1"/>
        <v>0.87199717786530884</v>
      </c>
      <c r="G26" s="11">
        <f t="shared" si="2"/>
        <v>2.1533643297493104</v>
      </c>
      <c r="H26" s="11">
        <f t="shared" si="8"/>
        <v>1.917150572043181</v>
      </c>
      <c r="I26" s="19">
        <f t="shared" si="3"/>
        <v>0.114979963707369</v>
      </c>
      <c r="J26" s="11">
        <f t="shared" si="4"/>
        <v>231230456.01370445</v>
      </c>
      <c r="K26" s="11">
        <f t="shared" si="9"/>
        <v>231.23045601370444</v>
      </c>
      <c r="L26" s="22">
        <f t="shared" si="5"/>
        <v>462.46091202740888</v>
      </c>
    </row>
    <row r="27" spans="2:12" x14ac:dyDescent="0.35">
      <c r="B27" s="21">
        <f t="shared" si="10"/>
        <v>0.79421464888190907</v>
      </c>
      <c r="C27" s="11">
        <f t="shared" si="6"/>
        <v>97.717666948436118</v>
      </c>
      <c r="D27" s="11">
        <f t="shared" si="7"/>
        <v>6.4299379051846503E-2</v>
      </c>
      <c r="E27" s="11">
        <f t="shared" si="0"/>
        <v>6.4299379051846503E-2</v>
      </c>
      <c r="F27" s="11">
        <f t="shared" si="1"/>
        <v>0.85150624258206875</v>
      </c>
      <c r="G27" s="11">
        <f t="shared" si="2"/>
        <v>2.2494780238950867</v>
      </c>
      <c r="H27" s="11">
        <f t="shared" si="8"/>
        <v>1.9964443697134464</v>
      </c>
      <c r="I27" s="19">
        <f t="shared" si="3"/>
        <v>0.12615683148045745</v>
      </c>
      <c r="J27" s="11">
        <f t="shared" si="4"/>
        <v>253707695.94877392</v>
      </c>
      <c r="K27" s="11">
        <f t="shared" si="9"/>
        <v>253.7076959487739</v>
      </c>
      <c r="L27" s="22">
        <f t="shared" si="5"/>
        <v>507.41539189754781</v>
      </c>
    </row>
    <row r="28" spans="2:12" x14ac:dyDescent="0.35">
      <c r="B28" s="21">
        <f t="shared" si="10"/>
        <v>0.85530808341128672</v>
      </c>
      <c r="C28" s="11">
        <f t="shared" si="6"/>
        <v>84.2565597667638</v>
      </c>
      <c r="D28" s="11">
        <f t="shared" si="7"/>
        <v>7.4572060912200672E-2</v>
      </c>
      <c r="E28" s="11">
        <f t="shared" si="0"/>
        <v>7.4572060912200672E-2</v>
      </c>
      <c r="F28" s="11">
        <f t="shared" si="1"/>
        <v>0.82991652770376856</v>
      </c>
      <c r="G28" s="11">
        <f t="shared" si="2"/>
        <v>2.3455917180408621</v>
      </c>
      <c r="H28" s="11">
        <f t="shared" si="8"/>
        <v>2.0757381673837112</v>
      </c>
      <c r="I28" s="19">
        <f t="shared" si="3"/>
        <v>0.12480955414401908</v>
      </c>
      <c r="J28" s="11">
        <f t="shared" si="4"/>
        <v>250998253.86132959</v>
      </c>
      <c r="K28" s="11">
        <f t="shared" si="9"/>
        <v>250.99825386132957</v>
      </c>
      <c r="L28" s="22">
        <f t="shared" si="5"/>
        <v>501.99650772265915</v>
      </c>
    </row>
    <row r="29" spans="2:12" x14ac:dyDescent="0.35">
      <c r="B29" s="21">
        <f t="shared" si="10"/>
        <v>0.91640151794066438</v>
      </c>
      <c r="C29" s="11">
        <f t="shared" si="6"/>
        <v>73.396825396825335</v>
      </c>
      <c r="D29" s="11">
        <f t="shared" si="7"/>
        <v>8.5605682169618141E-2</v>
      </c>
      <c r="E29" s="11">
        <f t="shared" si="0"/>
        <v>8.5605682169618141E-2</v>
      </c>
      <c r="F29" s="11">
        <f t="shared" si="1"/>
        <v>0.80733691637797855</v>
      </c>
      <c r="G29" s="11">
        <f t="shared" si="2"/>
        <v>2.4417054121866384</v>
      </c>
      <c r="H29" s="11">
        <f t="shared" si="8"/>
        <v>2.1550319650539769</v>
      </c>
      <c r="I29" s="19">
        <f t="shared" si="3"/>
        <v>0.10843981256815434</v>
      </c>
      <c r="J29" s="11">
        <f t="shared" si="4"/>
        <v>218077885.06518677</v>
      </c>
      <c r="K29" s="11">
        <f t="shared" si="9"/>
        <v>218.07788506518676</v>
      </c>
      <c r="L29" s="22">
        <f t="shared" si="5"/>
        <v>436.15577013037353</v>
      </c>
    </row>
    <row r="30" spans="2:12" x14ac:dyDescent="0.35">
      <c r="B30" s="21">
        <f t="shared" si="10"/>
        <v>0.97749495247004203</v>
      </c>
      <c r="C30" s="11">
        <f t="shared" si="6"/>
        <v>64.508928571428513</v>
      </c>
      <c r="D30" s="11">
        <f t="shared" si="7"/>
        <v>9.740024282409887E-2</v>
      </c>
      <c r="E30" s="11">
        <f t="shared" si="0"/>
        <v>9.740024282409887E-2</v>
      </c>
      <c r="F30" s="11">
        <f t="shared" si="1"/>
        <v>0.78387900017034895</v>
      </c>
      <c r="G30" s="11">
        <f t="shared" si="2"/>
        <v>2.5378191063324143</v>
      </c>
      <c r="H30" s="11">
        <f t="shared" si="8"/>
        <v>2.2343257627242417</v>
      </c>
      <c r="I30" s="19">
        <f t="shared" si="3"/>
        <v>7.8401575577283222E-2</v>
      </c>
      <c r="J30" s="11">
        <f t="shared" si="4"/>
        <v>157669488.56469545</v>
      </c>
      <c r="K30" s="11">
        <f t="shared" si="9"/>
        <v>157.66948856469543</v>
      </c>
      <c r="L30" s="22">
        <f t="shared" si="5"/>
        <v>315.33897712939086</v>
      </c>
    </row>
    <row r="31" spans="2:12" x14ac:dyDescent="0.35">
      <c r="B31" s="21">
        <f t="shared" si="10"/>
        <v>1.0385883869994197</v>
      </c>
      <c r="C31" s="11">
        <f t="shared" si="6"/>
        <v>57.142857142857096</v>
      </c>
      <c r="D31" s="11">
        <f t="shared" si="7"/>
        <v>0.10995574287564285</v>
      </c>
      <c r="E31" s="11">
        <f t="shared" si="0"/>
        <v>0.10995574287564285</v>
      </c>
      <c r="F31" s="11">
        <f t="shared" si="1"/>
        <v>0.75965616906920641</v>
      </c>
      <c r="G31" s="11">
        <f t="shared" si="2"/>
        <v>2.6339328004781901</v>
      </c>
      <c r="H31" s="11">
        <f t="shared" si="8"/>
        <v>2.3136195603945069</v>
      </c>
      <c r="I31" s="19">
        <f t="shared" si="3"/>
        <v>4.0749414652344176E-2</v>
      </c>
      <c r="J31" s="11">
        <f t="shared" si="4"/>
        <v>81949110.336596772</v>
      </c>
      <c r="K31" s="11">
        <f t="shared" si="9"/>
        <v>81.949110336596775</v>
      </c>
      <c r="L31" s="22">
        <f t="shared" si="5"/>
        <v>163.89822067319355</v>
      </c>
    </row>
    <row r="32" spans="2:12" x14ac:dyDescent="0.35">
      <c r="B32" s="21">
        <f t="shared" si="10"/>
        <v>1.0996818215287973</v>
      </c>
      <c r="C32" s="11">
        <f t="shared" si="6"/>
        <v>50.970017636684261</v>
      </c>
      <c r="D32" s="11">
        <f t="shared" si="7"/>
        <v>0.12327218232425012</v>
      </c>
      <c r="E32" s="11">
        <f t="shared" si="0"/>
        <v>0.12327218232425012</v>
      </c>
      <c r="F32" s="11">
        <f t="shared" si="1"/>
        <v>0.73478271023489794</v>
      </c>
      <c r="G32" s="11">
        <f t="shared" si="2"/>
        <v>2.730046494623966</v>
      </c>
      <c r="H32" s="11">
        <f t="shared" si="8"/>
        <v>2.3929133580647717</v>
      </c>
      <c r="I32" s="19">
        <f t="shared" si="3"/>
        <v>5.1851648505878986E-3</v>
      </c>
      <c r="J32" s="11">
        <f t="shared" si="4"/>
        <v>10427625.772774795</v>
      </c>
      <c r="K32" s="11">
        <f t="shared" si="9"/>
        <v>10.427625772774794</v>
      </c>
      <c r="L32" s="22">
        <f t="shared" si="5"/>
        <v>20.855251545549589</v>
      </c>
    </row>
    <row r="33" spans="2:12" x14ac:dyDescent="0.35">
      <c r="B33" s="21">
        <f t="shared" si="10"/>
        <v>1.160775256058175</v>
      </c>
      <c r="C33" s="11">
        <f t="shared" si="6"/>
        <v>45.745943806885599</v>
      </c>
      <c r="D33" s="11">
        <f t="shared" si="7"/>
        <v>0.13734956116992064</v>
      </c>
      <c r="E33" s="11">
        <f t="shared" si="0"/>
        <v>0.13734956116992064</v>
      </c>
      <c r="F33" s="11">
        <f t="shared" si="1"/>
        <v>0.70937292535608976</v>
      </c>
      <c r="G33" s="11">
        <f t="shared" si="2"/>
        <v>2.8261601887697418</v>
      </c>
      <c r="H33" s="11">
        <f t="shared" si="8"/>
        <v>2.4722071557350369</v>
      </c>
      <c r="I33" s="19">
        <f t="shared" si="3"/>
        <v>-1.8233015721120436E-2</v>
      </c>
      <c r="J33" s="11">
        <f t="shared" si="4"/>
        <v>-36667506.265959255</v>
      </c>
      <c r="K33" s="11">
        <f t="shared" si="9"/>
        <v>-36.667506265959254</v>
      </c>
      <c r="L33" s="22">
        <f t="shared" si="5"/>
        <v>-73.335012531918508</v>
      </c>
    </row>
    <row r="34" spans="2:12" x14ac:dyDescent="0.35">
      <c r="B34" s="21">
        <f t="shared" si="10"/>
        <v>1.2218686905875527</v>
      </c>
      <c r="C34" s="11">
        <f t="shared" si="6"/>
        <v>41.285714285714256</v>
      </c>
      <c r="D34" s="11">
        <f t="shared" si="7"/>
        <v>0.15218787941265444</v>
      </c>
      <c r="E34" s="11">
        <f t="shared" si="0"/>
        <v>0.15218787941265444</v>
      </c>
      <c r="F34" s="11">
        <f t="shared" si="1"/>
        <v>0.6835402759364243</v>
      </c>
      <c r="G34" s="11">
        <f t="shared" si="2"/>
        <v>2.9222738829155173</v>
      </c>
      <c r="H34" s="11">
        <f t="shared" si="8"/>
        <v>2.5515009534053017</v>
      </c>
      <c r="I34" s="19">
        <f t="shared" si="3"/>
        <v>-2.3654316293024773E-2</v>
      </c>
      <c r="J34" s="11">
        <f t="shared" si="4"/>
        <v>-47570012.781087473</v>
      </c>
      <c r="K34" s="11">
        <f t="shared" si="9"/>
        <v>-47.57001278108747</v>
      </c>
      <c r="L34" s="22">
        <f t="shared" si="5"/>
        <v>-95.140025562174941</v>
      </c>
    </row>
    <row r="35" spans="2:12" x14ac:dyDescent="0.35">
      <c r="B35" s="21">
        <f t="shared" si="10"/>
        <v>1.2829621251169303</v>
      </c>
      <c r="C35" s="11">
        <f t="shared" si="6"/>
        <v>37.447359896339456</v>
      </c>
      <c r="D35" s="11">
        <f t="shared" si="7"/>
        <v>0.16778713705245155</v>
      </c>
      <c r="E35" s="11">
        <f t="shared" si="0"/>
        <v>0.16778713705245155</v>
      </c>
      <c r="F35" s="11">
        <f t="shared" si="1"/>
        <v>0.6573965651734458</v>
      </c>
      <c r="G35" s="11">
        <f t="shared" si="2"/>
        <v>3.0183875770612936</v>
      </c>
      <c r="H35" s="11">
        <f t="shared" si="8"/>
        <v>2.6307947510755669</v>
      </c>
      <c r="I35" s="19">
        <f t="shared" si="3"/>
        <v>-1.292967691982441E-2</v>
      </c>
      <c r="J35" s="11">
        <f t="shared" si="4"/>
        <v>-26002226.769612886</v>
      </c>
      <c r="K35" s="11">
        <f t="shared" si="9"/>
        <v>-26.002226769612886</v>
      </c>
      <c r="L35" s="22">
        <f t="shared" si="5"/>
        <v>-52.004453539225771</v>
      </c>
    </row>
    <row r="36" spans="2:12" x14ac:dyDescent="0.35">
      <c r="B36" s="21">
        <f t="shared" si="10"/>
        <v>1.344055559646308</v>
      </c>
      <c r="C36" s="11">
        <f t="shared" si="6"/>
        <v>34.1204250295159</v>
      </c>
      <c r="D36" s="11">
        <f t="shared" si="7"/>
        <v>0.18414733408931197</v>
      </c>
      <c r="E36" s="11">
        <f t="shared" si="0"/>
        <v>0.18414733408931197</v>
      </c>
      <c r="F36" s="11">
        <f t="shared" si="1"/>
        <v>0.63105116432253816</v>
      </c>
      <c r="G36" s="11">
        <f t="shared" si="2"/>
        <v>3.1145012712070699</v>
      </c>
      <c r="H36" s="11">
        <f t="shared" si="8"/>
        <v>2.7100885487458326</v>
      </c>
      <c r="I36" s="19">
        <f t="shared" si="3"/>
        <v>4.6259863647811301E-3</v>
      </c>
      <c r="J36" s="11">
        <f t="shared" si="4"/>
        <v>9303089.8788930923</v>
      </c>
      <c r="K36" s="11">
        <f t="shared" si="9"/>
        <v>9.3030898788930916</v>
      </c>
      <c r="L36" s="22">
        <f t="shared" si="5"/>
        <v>18.606179757786183</v>
      </c>
    </row>
    <row r="37" spans="2:12" x14ac:dyDescent="0.35">
      <c r="B37" s="21">
        <f t="shared" si="10"/>
        <v>1.4051489941756856</v>
      </c>
      <c r="C37" s="11">
        <f t="shared" si="6"/>
        <v>31.217931406967303</v>
      </c>
      <c r="D37" s="11">
        <f t="shared" si="7"/>
        <v>0.20126847052323549</v>
      </c>
      <c r="E37" s="11">
        <f t="shared" si="0"/>
        <v>0.20126847052323549</v>
      </c>
      <c r="F37" s="11">
        <f t="shared" si="1"/>
        <v>0.60461029057830062</v>
      </c>
      <c r="G37" s="11">
        <f t="shared" si="2"/>
        <v>3.2106149653528453</v>
      </c>
      <c r="H37" s="11">
        <f t="shared" si="8"/>
        <v>2.7893823464160974</v>
      </c>
      <c r="I37" s="19">
        <f t="shared" si="3"/>
        <v>1.7168711308061559E-2</v>
      </c>
      <c r="J37" s="11">
        <f t="shared" si="4"/>
        <v>34527136.876077205</v>
      </c>
      <c r="K37" s="11">
        <f t="shared" si="9"/>
        <v>34.527136876077201</v>
      </c>
      <c r="L37" s="22">
        <f t="shared" si="5"/>
        <v>69.054273752154401</v>
      </c>
    </row>
    <row r="38" spans="2:12" x14ac:dyDescent="0.35">
      <c r="B38" s="21">
        <f t="shared" si="10"/>
        <v>1.4662424287050633</v>
      </c>
      <c r="C38" s="11">
        <f t="shared" si="6"/>
        <v>28.670634920634885</v>
      </c>
      <c r="D38" s="11">
        <f t="shared" si="7"/>
        <v>0.21915054635422251</v>
      </c>
      <c r="E38" s="11">
        <f t="shared" si="0"/>
        <v>0.21915054635422251</v>
      </c>
      <c r="F38" s="11">
        <f t="shared" si="1"/>
        <v>0.57817634257198125</v>
      </c>
      <c r="G38" s="11">
        <f t="shared" si="2"/>
        <v>3.3067286594986216</v>
      </c>
      <c r="H38" s="11">
        <f t="shared" si="8"/>
        <v>2.8686761440863626</v>
      </c>
      <c r="I38" s="19">
        <f t="shared" si="3"/>
        <v>1.7576367183413818E-2</v>
      </c>
      <c r="J38" s="11">
        <f t="shared" si="4"/>
        <v>35346953.224204354</v>
      </c>
      <c r="K38" s="11">
        <f t="shared" si="9"/>
        <v>35.346953224204356</v>
      </c>
      <c r="L38" s="22">
        <f t="shared" si="5"/>
        <v>70.693906448408711</v>
      </c>
    </row>
    <row r="39" spans="2:12" x14ac:dyDescent="0.35">
      <c r="B39" s="21">
        <f t="shared" si="10"/>
        <v>1.5273358632344409</v>
      </c>
      <c r="C39" s="11">
        <f t="shared" si="6"/>
        <v>26.422857142857108</v>
      </c>
      <c r="D39" s="11">
        <f t="shared" si="7"/>
        <v>0.23779356158227272</v>
      </c>
      <c r="E39" s="11">
        <f t="shared" si="0"/>
        <v>0.23779356158227272</v>
      </c>
      <c r="F39" s="11">
        <f t="shared" si="1"/>
        <v>0.55184729859466519</v>
      </c>
      <c r="G39" s="11">
        <f t="shared" si="2"/>
        <v>3.4028423536443979</v>
      </c>
      <c r="H39" s="11">
        <f t="shared" si="8"/>
        <v>2.9479699417566279</v>
      </c>
      <c r="I39" s="19">
        <f t="shared" si="3"/>
        <v>7.9512320628610834E-3</v>
      </c>
      <c r="J39" s="11">
        <f t="shared" si="4"/>
        <v>15990325.240016785</v>
      </c>
      <c r="K39" s="11">
        <f t="shared" si="9"/>
        <v>15.990325240016784</v>
      </c>
      <c r="L39" s="22">
        <f t="shared" si="5"/>
        <v>31.980650480033567</v>
      </c>
    </row>
    <row r="40" spans="2:12" x14ac:dyDescent="0.35">
      <c r="B40" s="21">
        <f t="shared" si="10"/>
        <v>1.5884292977638186</v>
      </c>
      <c r="C40" s="11">
        <f t="shared" si="6"/>
        <v>24.429416737109019</v>
      </c>
      <c r="D40" s="11">
        <f t="shared" si="7"/>
        <v>0.25719751620738612</v>
      </c>
      <c r="E40" s="11">
        <f t="shared" si="0"/>
        <v>0.25719751620738612</v>
      </c>
      <c r="F40" s="11">
        <f t="shared" si="1"/>
        <v>0.52571618163057743</v>
      </c>
      <c r="G40" s="11">
        <f t="shared" si="2"/>
        <v>3.4989560477901733</v>
      </c>
      <c r="H40" s="11">
        <f t="shared" si="8"/>
        <v>3.0272637394268926</v>
      </c>
      <c r="I40" s="19">
        <f t="shared" si="3"/>
        <v>-2.6980974971036261E-3</v>
      </c>
      <c r="J40" s="11">
        <f t="shared" si="4"/>
        <v>-5426008.9715502476</v>
      </c>
      <c r="K40" s="11">
        <f t="shared" si="9"/>
        <v>-5.4260089715502478</v>
      </c>
      <c r="L40" s="22">
        <f t="shared" si="5"/>
        <v>-10.852017943100496</v>
      </c>
    </row>
    <row r="41" spans="2:12" x14ac:dyDescent="0.35">
      <c r="B41" s="21">
        <f t="shared" si="10"/>
        <v>1.6495227322931962</v>
      </c>
      <c r="C41" s="11">
        <f t="shared" si="6"/>
        <v>22.653341171859665</v>
      </c>
      <c r="D41" s="11">
        <f t="shared" si="7"/>
        <v>0.27736241022956282</v>
      </c>
      <c r="E41" s="11">
        <f t="shared" si="0"/>
        <v>0.27736241022956282</v>
      </c>
      <c r="F41" s="11">
        <f t="shared" si="1"/>
        <v>0.49987059424175928</v>
      </c>
      <c r="G41" s="11">
        <f t="shared" si="2"/>
        <v>3.5950697419359492</v>
      </c>
      <c r="H41" s="11">
        <f t="shared" si="8"/>
        <v>3.1065575370971583</v>
      </c>
      <c r="I41" s="19">
        <f t="shared" si="3"/>
        <v>-6.3649927399147335E-3</v>
      </c>
      <c r="J41" s="11">
        <f t="shared" si="4"/>
        <v>-12800318.649605526</v>
      </c>
      <c r="K41" s="11">
        <f t="shared" si="9"/>
        <v>-12.800318649605526</v>
      </c>
      <c r="L41" s="22">
        <f t="shared" si="5"/>
        <v>-25.600637299211051</v>
      </c>
    </row>
    <row r="42" spans="2:12" x14ac:dyDescent="0.35">
      <c r="B42" s="21">
        <f t="shared" si="10"/>
        <v>1.7106161668225739</v>
      </c>
      <c r="C42" s="11">
        <f t="shared" si="6"/>
        <v>21.064139941690939</v>
      </c>
      <c r="D42" s="11">
        <f t="shared" si="7"/>
        <v>0.2982882436488028</v>
      </c>
      <c r="E42" s="11">
        <f t="shared" si="0"/>
        <v>0.2982882436488028</v>
      </c>
      <c r="F42" s="11">
        <f t="shared" si="1"/>
        <v>0.47439232530266595</v>
      </c>
      <c r="G42" s="11">
        <f t="shared" si="2"/>
        <v>3.6911834360817251</v>
      </c>
      <c r="H42" s="11">
        <f t="shared" si="8"/>
        <v>3.1858513347674231</v>
      </c>
      <c r="I42" s="19">
        <f t="shared" si="3"/>
        <v>-2.6983594713652238E-3</v>
      </c>
      <c r="J42" s="11">
        <f t="shared" si="4"/>
        <v>-5426535.8148890333</v>
      </c>
      <c r="K42" s="11">
        <f t="shared" si="9"/>
        <v>-5.426535814889033</v>
      </c>
      <c r="L42" s="22">
        <f t="shared" si="5"/>
        <v>-10.853071629778066</v>
      </c>
    </row>
    <row r="43" spans="2:12" x14ac:dyDescent="0.35">
      <c r="B43" s="21">
        <f t="shared" si="10"/>
        <v>1.7717096013519515</v>
      </c>
      <c r="C43" s="11">
        <f t="shared" si="6"/>
        <v>19.636487175131624</v>
      </c>
      <c r="D43" s="11">
        <f t="shared" si="7"/>
        <v>0.31997501646510612</v>
      </c>
      <c r="E43" s="11">
        <f t="shared" si="0"/>
        <v>0.31997501646510612</v>
      </c>
      <c r="F43" s="11">
        <f t="shared" si="1"/>
        <v>0.44935702955831452</v>
      </c>
      <c r="G43" s="11">
        <f t="shared" si="2"/>
        <v>3.7872971302275014</v>
      </c>
      <c r="H43" s="11">
        <f t="shared" si="8"/>
        <v>3.2651451324376883</v>
      </c>
      <c r="I43" s="19">
        <f t="shared" si="3"/>
        <v>2.1067550623594983E-3</v>
      </c>
      <c r="J43" s="11">
        <f t="shared" si="4"/>
        <v>4236789.7681580698</v>
      </c>
      <c r="K43" s="11">
        <f t="shared" si="9"/>
        <v>4.2367897681580695</v>
      </c>
      <c r="L43" s="22">
        <f t="shared" si="5"/>
        <v>8.473579536316139</v>
      </c>
    </row>
    <row r="44" spans="2:12" x14ac:dyDescent="0.35">
      <c r="B44" s="21">
        <f t="shared" si="10"/>
        <v>1.8328030358813292</v>
      </c>
      <c r="C44" s="11">
        <f t="shared" si="6"/>
        <v>18.34920634920633</v>
      </c>
      <c r="D44" s="11">
        <f t="shared" si="7"/>
        <v>0.34242272867847262</v>
      </c>
      <c r="E44" s="11">
        <f t="shared" si="0"/>
        <v>0.34242272867847262</v>
      </c>
      <c r="F44" s="11">
        <f t="shared" si="1"/>
        <v>0.42483397998874123</v>
      </c>
      <c r="G44" s="11">
        <f t="shared" si="2"/>
        <v>3.8834108243732768</v>
      </c>
      <c r="H44" s="11">
        <f t="shared" si="8"/>
        <v>3.3444389301079536</v>
      </c>
      <c r="I44" s="19">
        <f t="shared" si="3"/>
        <v>2.8976157986543836E-3</v>
      </c>
      <c r="J44" s="11">
        <f t="shared" si="4"/>
        <v>5827250.2518838989</v>
      </c>
      <c r="K44" s="11">
        <f t="shared" si="9"/>
        <v>5.8272502518838989</v>
      </c>
      <c r="L44" s="22">
        <f t="shared" si="5"/>
        <v>11.654500503767798</v>
      </c>
    </row>
    <row r="45" spans="2:12" x14ac:dyDescent="0.35">
      <c r="B45" s="21">
        <f t="shared" si="10"/>
        <v>1.8938964704107069</v>
      </c>
      <c r="C45" s="11">
        <f t="shared" si="6"/>
        <v>17.184480451910193</v>
      </c>
      <c r="D45" s="11">
        <f t="shared" si="7"/>
        <v>0.36563138028890246</v>
      </c>
      <c r="E45" s="11">
        <f t="shared" si="0"/>
        <v>0.36563138028890246</v>
      </c>
      <c r="F45" s="11">
        <f t="shared" si="1"/>
        <v>0.4008858920205593</v>
      </c>
      <c r="G45" s="11">
        <f t="shared" si="2"/>
        <v>3.9795245185190526</v>
      </c>
      <c r="H45" s="11">
        <f t="shared" si="8"/>
        <v>3.4237327277782184</v>
      </c>
      <c r="I45" s="19">
        <f t="shared" si="3"/>
        <v>7.7365271228092922E-4</v>
      </c>
      <c r="J45" s="11">
        <f t="shared" si="4"/>
        <v>1555854.2870325628</v>
      </c>
      <c r="K45" s="11">
        <f t="shared" si="9"/>
        <v>1.5558542870325627</v>
      </c>
      <c r="L45" s="22">
        <f t="shared" si="5"/>
        <v>3.1117085740651254</v>
      </c>
    </row>
    <row r="46" spans="2:12" x14ac:dyDescent="0.35">
      <c r="B46" s="21">
        <f t="shared" si="10"/>
        <v>1.9549899049400845</v>
      </c>
      <c r="C46" s="11">
        <f t="shared" si="6"/>
        <v>16.127232142857125</v>
      </c>
      <c r="D46" s="11">
        <f t="shared" si="7"/>
        <v>0.38960097129639554</v>
      </c>
      <c r="E46" s="11">
        <f t="shared" si="0"/>
        <v>0.38960097129639554</v>
      </c>
      <c r="F46" s="11">
        <f t="shared" si="1"/>
        <v>0.37756881774658546</v>
      </c>
      <c r="G46" s="11">
        <f t="shared" si="2"/>
        <v>4.0756382126648294</v>
      </c>
      <c r="H46" s="11">
        <f t="shared" si="8"/>
        <v>3.503026525448484</v>
      </c>
      <c r="I46" s="19">
        <f t="shared" si="3"/>
        <v>-2.1730127499526409E-4</v>
      </c>
      <c r="J46" s="11">
        <f t="shared" si="4"/>
        <v>-437003.72907922586</v>
      </c>
      <c r="K46" s="11">
        <f t="shared" si="9"/>
        <v>-0.43700372907922586</v>
      </c>
      <c r="L46" s="22">
        <f t="shared" si="5"/>
        <v>-0.87400745815845171</v>
      </c>
    </row>
    <row r="47" spans="2:12" x14ac:dyDescent="0.35">
      <c r="B47" s="21">
        <f t="shared" si="10"/>
        <v>2.0160833394694619</v>
      </c>
      <c r="C47" s="11">
        <f t="shared" si="6"/>
        <v>15.164633346451511</v>
      </c>
      <c r="D47" s="11">
        <f t="shared" si="7"/>
        <v>0.4143315017009519</v>
      </c>
      <c r="E47" s="11">
        <f t="shared" si="0"/>
        <v>0.4143315017009519</v>
      </c>
      <c r="F47" s="11">
        <f t="shared" si="1"/>
        <v>0.35493210750821835</v>
      </c>
      <c r="G47" s="11">
        <f t="shared" si="2"/>
        <v>4.1717519068106039</v>
      </c>
      <c r="H47" s="11">
        <f t="shared" si="8"/>
        <v>3.5823203231187479</v>
      </c>
      <c r="I47" s="19">
        <f t="shared" si="3"/>
        <v>3.9514590996325537E-4</v>
      </c>
      <c r="J47" s="11">
        <f t="shared" si="4"/>
        <v>794658.1822316047</v>
      </c>
      <c r="K47" s="11">
        <f t="shared" si="9"/>
        <v>0.79465818223160467</v>
      </c>
      <c r="L47" s="22">
        <f t="shared" si="5"/>
        <v>1.5893163644632093</v>
      </c>
    </row>
    <row r="48" spans="2:12" ht="15" thickBot="1" x14ac:dyDescent="0.4">
      <c r="B48" s="23">
        <f>2*PI()/SQRT(L*2*PI()/(7*9.81))</f>
        <v>2.0771767739988385</v>
      </c>
      <c r="C48" s="24">
        <f>9.81*(2*PI()/B48)^2/(2*PI())</f>
        <v>14.285714285714286</v>
      </c>
      <c r="D48" s="24">
        <f t="shared" si="7"/>
        <v>0.43982297150257099</v>
      </c>
      <c r="E48" s="24">
        <f t="shared" si="0"/>
        <v>0.43982297150257099</v>
      </c>
      <c r="F48" s="24">
        <f t="shared" si="1"/>
        <v>0.33301843547196486</v>
      </c>
      <c r="G48" s="24">
        <f t="shared" si="2"/>
        <v>4.2678656009563785</v>
      </c>
      <c r="H48" s="24">
        <f t="shared" si="8"/>
        <v>3.6616141207890123</v>
      </c>
      <c r="I48" s="19">
        <f t="shared" si="3"/>
        <v>-2.1693703992271951E-4</v>
      </c>
      <c r="J48" s="24">
        <f t="shared" si="4"/>
        <v>-436271.23413658509</v>
      </c>
      <c r="K48" s="24">
        <f t="shared" si="9"/>
        <v>-0.43627123413658508</v>
      </c>
      <c r="L48" s="25">
        <f t="shared" si="5"/>
        <v>-0.87254246827317017</v>
      </c>
    </row>
    <row r="50" spans="1:12" ht="15" thickBot="1" x14ac:dyDescent="0.4"/>
    <row r="51" spans="1:12" ht="21.5" thickBot="1" x14ac:dyDescent="0.55000000000000004">
      <c r="A51" s="32" t="s">
        <v>36</v>
      </c>
      <c r="B51" s="9">
        <f>2*PI()/SQRT(L*2*PI()/(9.81))</f>
        <v>0.78509902473147763</v>
      </c>
      <c r="C51" s="10">
        <f>9.81*(2*PI()/B51)^2/(2*PI())</f>
        <v>100.00000000000003</v>
      </c>
      <c r="D51" s="10">
        <f t="shared" ref="D51" si="11">2*PI()/C51</f>
        <v>6.283185307179584E-2</v>
      </c>
      <c r="E51" s="10">
        <f>ABS(D51*COS(_⁡𝛽*PI()/180))</f>
        <v>6.283185307179584E-2</v>
      </c>
      <c r="F51" s="10">
        <f>EXP(-E51*T)</f>
        <v>0.85463599915323352</v>
      </c>
      <c r="G51" s="10">
        <f>1-$C$9*SQRT(D51*L)*COS(_⁡𝛽*PI()/180)</f>
        <v>2.2351370997304594</v>
      </c>
      <c r="H51" s="10">
        <f>((1-$C$10)^2+0.6*G51*(2-$C$10))</f>
        <v>1.984613107277629</v>
      </c>
      <c r="I51" s="10">
        <f>F51*(1-D51*T)/(E51*L)^2*(1-COS(E51*L/2)-E51*L/4*SIN(E51*L/2))*$C$11*H51*(ABS(COS(_⁡𝛽*PI()/180)))^(1/3)</f>
        <v>0.12518689081257475</v>
      </c>
      <c r="J51" s="10">
        <f>I51*_𝜌*9.81*B*L^2</f>
        <v>251757096.76862848</v>
      </c>
      <c r="K51" s="10">
        <f>J51*10^-6</f>
        <v>251.75709676862846</v>
      </c>
      <c r="L51" s="33">
        <f>K51*(h/2)</f>
        <v>503.51419353725692</v>
      </c>
    </row>
  </sheetData>
  <mergeCells count="4">
    <mergeCell ref="B6:G6"/>
    <mergeCell ref="B1:K3"/>
    <mergeCell ref="E9:G9"/>
    <mergeCell ref="E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Inputs and Results</vt:lpstr>
      <vt:lpstr>Calculations</vt:lpstr>
      <vt:lpstr>_⁡𝛽</vt:lpstr>
      <vt:lpstr>_𝜌</vt:lpstr>
      <vt:lpstr>B</vt:lpstr>
      <vt:lpstr>Cb</vt:lpstr>
      <vt:lpstr>h</vt:lpstr>
      <vt:lpstr>L</vt:lpstr>
      <vt:lpstr>raw</vt:lpstr>
      <vt:lpstr>T</vt:lpstr>
      <vt:lpstr>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Yosri</dc:creator>
  <cp:keywords/>
  <dc:description/>
  <cp:lastModifiedBy>Cheirdaris Spyridon</cp:lastModifiedBy>
  <cp:revision/>
  <dcterms:created xsi:type="dcterms:W3CDTF">2021-03-21T22:23:36Z</dcterms:created>
  <dcterms:modified xsi:type="dcterms:W3CDTF">2021-03-29T10:50:11Z</dcterms:modified>
  <cp:category/>
  <cp:contentStatus/>
</cp:coreProperties>
</file>