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295" windowHeight="6750" activeTab="4"/>
  </bookViews>
  <sheets>
    <sheet name="Menu" sheetId="1" r:id="rId1"/>
    <sheet name="Concentrations" sheetId="2" r:id="rId2"/>
    <sheet name="Balance and Eff." sheetId="3" r:id="rId3"/>
    <sheet name="Cut size" sheetId="4" r:id="rId4"/>
    <sheet name="Energy losses" sheetId="5" r:id="rId5"/>
  </sheets>
  <definedNames>
    <definedName name="A" localSheetId="3">'Cut size'!$D$4</definedName>
    <definedName name="A">'Energy losses'!$J$22</definedName>
    <definedName name="Ai" localSheetId="3">'Cut size'!$F$4</definedName>
    <definedName name="Ao" localSheetId="3">'Cut size'!$H$4</definedName>
    <definedName name="D" localSheetId="3">'Cut size'!$D$3</definedName>
    <definedName name="D">'Energy losses'!$J$21</definedName>
    <definedName name="Di" localSheetId="3">'Cut size'!$F$3</definedName>
    <definedName name="Do">'Cut size'!$H$3</definedName>
    <definedName name="koko1" localSheetId="3">'Cut size'!$G$21</definedName>
    <definedName name="L" localSheetId="3">'Cut size'!$D$2</definedName>
    <definedName name="L">'Energy losses'!$J$20</definedName>
    <definedName name="_xlnm.Print_Area" localSheetId="2">'Balance and Eff.'!$A$1:$J$57</definedName>
    <definedName name="_xlnm.Print_Area" localSheetId="1">'Concentrations'!$A$1:$J$55</definedName>
    <definedName name="_xlnm.Print_Area" localSheetId="3">'Cut size'!$A$1:$J$63</definedName>
    <definedName name="_xlnm.Print_Area" localSheetId="4">'Energy losses'!$A$1:$J$57</definedName>
    <definedName name="_xlnm.Print_Area" localSheetId="0">'Menu'!$A$1:$I$59</definedName>
    <definedName name="rooF">'Balance and Eff.'!$J$3</definedName>
    <definedName name="rool" localSheetId="2">'Balance and Eff.'!$G$2</definedName>
    <definedName name="rool">'Cut size'!$J$4</definedName>
    <definedName name="roos" localSheetId="2">'Balance and Eff.'!$G$1</definedName>
    <definedName name="roos">'Cut size'!$J$3</definedName>
    <definedName name="V">'Energy losses'!$J$3</definedName>
    <definedName name="zeta">'Energy losses'!$J$23</definedName>
  </definedNames>
  <calcPr fullCalcOnLoad="1"/>
</workbook>
</file>

<file path=xl/sharedStrings.xml><?xml version="1.0" encoding="utf-8"?>
<sst xmlns="http://schemas.openxmlformats.org/spreadsheetml/2006/main" count="276" uniqueCount="165">
  <si>
    <t>FUNKTIOT</t>
  </si>
  <si>
    <t xml:space="preserve"> </t>
  </si>
  <si>
    <t>roo(s)=</t>
  </si>
  <si>
    <t>m1</t>
  </si>
  <si>
    <t>m2</t>
  </si>
  <si>
    <t>m3</t>
  </si>
  <si>
    <t>w</t>
  </si>
  <si>
    <t>#</t>
  </si>
  <si>
    <t>m2-m1</t>
  </si>
  <si>
    <t>m3-m1</t>
  </si>
  <si>
    <t>wF</t>
  </si>
  <si>
    <t>wO</t>
  </si>
  <si>
    <t>wU</t>
  </si>
  <si>
    <t>F</t>
  </si>
  <si>
    <t>O</t>
  </si>
  <si>
    <t>U</t>
  </si>
  <si>
    <t>D(i)=</t>
  </si>
  <si>
    <t>D(o)=</t>
  </si>
  <si>
    <t>D=</t>
  </si>
  <si>
    <t>A(i)=</t>
  </si>
  <si>
    <t>A(o)=</t>
  </si>
  <si>
    <t>A=</t>
  </si>
  <si>
    <t>roo(l)=</t>
  </si>
  <si>
    <t>L=</t>
  </si>
  <si>
    <t>T</t>
  </si>
  <si>
    <t>eta(F)</t>
  </si>
  <si>
    <t>u(i)</t>
  </si>
  <si>
    <t>O/F</t>
  </si>
  <si>
    <t>OwO/FwF</t>
  </si>
  <si>
    <t>U/F</t>
  </si>
  <si>
    <t>UwU/FwF</t>
  </si>
  <si>
    <t>O/U</t>
  </si>
  <si>
    <t>OwO/UwU</t>
  </si>
  <si>
    <t>a</t>
  </si>
  <si>
    <t>u(A)</t>
  </si>
  <si>
    <t>tau</t>
  </si>
  <si>
    <t>u(p)</t>
  </si>
  <si>
    <t>Re(p)</t>
  </si>
  <si>
    <t>kg/s</t>
  </si>
  <si>
    <t>-</t>
  </si>
  <si>
    <t>m3/s</t>
  </si>
  <si>
    <t>m/s</t>
  </si>
  <si>
    <t>C</t>
  </si>
  <si>
    <t>kg/m/s</t>
  </si>
  <si>
    <t>s</t>
  </si>
  <si>
    <t>kg/m3</t>
  </si>
  <si>
    <t>t(p)</t>
  </si>
  <si>
    <t>*10^- 6 m</t>
  </si>
  <si>
    <t>d100</t>
  </si>
  <si>
    <t>d50</t>
  </si>
  <si>
    <t>d1</t>
  </si>
  <si>
    <t>roo(F)=</t>
  </si>
  <si>
    <t>Re</t>
  </si>
  <si>
    <t>u100</t>
  </si>
  <si>
    <t>u50</t>
  </si>
  <si>
    <t>u1</t>
  </si>
  <si>
    <t>Re100</t>
  </si>
  <si>
    <t>Re50</t>
  </si>
  <si>
    <t>Re1</t>
  </si>
  <si>
    <t>S100</t>
  </si>
  <si>
    <t>S50</t>
  </si>
  <si>
    <t>S1</t>
  </si>
  <si>
    <t>u</t>
  </si>
  <si>
    <t>p(a)</t>
  </si>
  <si>
    <t>Pa</t>
  </si>
  <si>
    <t>Ph</t>
  </si>
  <si>
    <t>W</t>
  </si>
  <si>
    <t>ksi</t>
  </si>
  <si>
    <t>sum zeta</t>
  </si>
  <si>
    <t>P(E)</t>
  </si>
  <si>
    <t>P(B)</t>
  </si>
  <si>
    <t>C/s</t>
  </si>
  <si>
    <t>dT/dt</t>
  </si>
  <si>
    <t>t</t>
  </si>
  <si>
    <t>t=1 min</t>
  </si>
  <si>
    <t>t=10 min</t>
  </si>
  <si>
    <t>t=1 h</t>
  </si>
  <si>
    <t>m3/h</t>
  </si>
  <si>
    <t>Q</t>
  </si>
  <si>
    <t>V(F)</t>
  </si>
  <si>
    <t>g</t>
  </si>
  <si>
    <t>u(a)</t>
  </si>
  <si>
    <t>m</t>
  </si>
  <si>
    <t>Menu</t>
  </si>
  <si>
    <t>Module1</t>
  </si>
  <si>
    <t>%</t>
  </si>
  <si>
    <t>Rotam.</t>
  </si>
  <si>
    <t>E1</t>
  </si>
  <si>
    <t>E2</t>
  </si>
  <si>
    <t>E3</t>
  </si>
  <si>
    <t>E4</t>
  </si>
  <si>
    <t>E5</t>
  </si>
  <si>
    <t>E6</t>
  </si>
  <si>
    <t>E7</t>
  </si>
  <si>
    <t>E8</t>
  </si>
  <si>
    <t>10^-3 m = mm</t>
  </si>
  <si>
    <t>T(F)</t>
  </si>
  <si>
    <t>m/s2</t>
  </si>
  <si>
    <t>HYDROCYCLONE</t>
  </si>
  <si>
    <t>This workbook contains he folloiwing sheets.</t>
  </si>
  <si>
    <t>This sheet</t>
  </si>
  <si>
    <t>Concentrations</t>
  </si>
  <si>
    <t>For calculating the concentrations</t>
  </si>
  <si>
    <t>Balance and Eff.</t>
  </si>
  <si>
    <t>Mass balances and efficiencies</t>
  </si>
  <si>
    <t>Cut size</t>
  </si>
  <si>
    <t>For calculatinf the cut size</t>
  </si>
  <si>
    <t>Energy losses</t>
  </si>
  <si>
    <t>Losses of mechanical energy and temperature rise in the system</t>
  </si>
  <si>
    <t>All sheets are protected except the cells which are marked like this</t>
  </si>
  <si>
    <t>These cells are used to input data or equations.</t>
  </si>
  <si>
    <t>This workbook contains the following Microsoft Visual Basic modules:</t>
  </si>
  <si>
    <t>Auto_Open macro</t>
  </si>
  <si>
    <t>For calculating the physical properties of water: roo(T), cp(T), eta(T) ja lam(T)</t>
  </si>
  <si>
    <t>CONCENTRATIONS</t>
  </si>
  <si>
    <t xml:space="preserve"> = dish</t>
  </si>
  <si>
    <t xml:space="preserve"> = dish + solids + water</t>
  </si>
  <si>
    <t xml:space="preserve"> = dish + solids</t>
  </si>
  <si>
    <t xml:space="preserve"> = mass fraction</t>
  </si>
  <si>
    <t>Feed</t>
  </si>
  <si>
    <t>Overflow</t>
  </si>
  <si>
    <t>Underflow</t>
  </si>
  <si>
    <t>average</t>
  </si>
  <si>
    <t>Density of the feed (solid-water mixture)</t>
  </si>
  <si>
    <t>Not the same as density of water.</t>
  </si>
  <si>
    <t>Since solids concentration is small, density of water can be used.</t>
  </si>
  <si>
    <t>MASS BALANCE</t>
  </si>
  <si>
    <t>SEPARATION EFFICIENCIES</t>
  </si>
  <si>
    <t>FEED</t>
  </si>
  <si>
    <t>u(i) velocity in the cyclone inlet</t>
  </si>
  <si>
    <t>u(a) average flowing velocity in the piping system</t>
  </si>
  <si>
    <t>Density of solids</t>
  </si>
  <si>
    <t>Density of water</t>
  </si>
  <si>
    <t>Velocity of flow in the inlet and normal acceleration in the cyclone</t>
  </si>
  <si>
    <t>Viscosity of feed</t>
  </si>
  <si>
    <t>Viscosity of feed (mixture)</t>
  </si>
  <si>
    <t>Not the same as viscosity of water</t>
  </si>
  <si>
    <t>since solids concentration is small, the viscosity of water can be used.</t>
  </si>
  <si>
    <t>u(i) velocity of flow in the cyclone inlet</t>
  </si>
  <si>
    <t>a normal acceleration</t>
  </si>
  <si>
    <t>Sinking time of the particle through the whole layer when dp=</t>
  </si>
  <si>
    <t>Is Re &lt; 1.0?</t>
  </si>
  <si>
    <t>Cut sizes</t>
  </si>
  <si>
    <t>10^-6 m = microns</t>
  </si>
  <si>
    <t>Sinking speeds and Reynolds numbers</t>
  </si>
  <si>
    <t>Volume of liquid in the feed tank:</t>
  </si>
  <si>
    <t>Energy losses in cyclone</t>
  </si>
  <si>
    <t>u(a) average flow velocity in the pipe system</t>
  </si>
  <si>
    <t>u(a) is in the same point as p(a): u(a) not the same as u(i)</t>
  </si>
  <si>
    <t>Energy losses in the pipe system</t>
  </si>
  <si>
    <t>Pipe system</t>
  </si>
  <si>
    <t>Energy losses in the pump</t>
  </si>
  <si>
    <t>electrical</t>
  </si>
  <si>
    <t>efficiency</t>
  </si>
  <si>
    <t>mechanical</t>
  </si>
  <si>
    <t>losses</t>
  </si>
  <si>
    <t>Brake</t>
  </si>
  <si>
    <t>Power</t>
  </si>
  <si>
    <t>Total</t>
  </si>
  <si>
    <t>Temperature rise</t>
  </si>
  <si>
    <t>measured</t>
  </si>
  <si>
    <t>calculated</t>
  </si>
  <si>
    <t>Effect of the calculated temperature rise when</t>
  </si>
  <si>
    <t>point a is on the pressure gauge, not in the inlet of the cyclone</t>
  </si>
  <si>
    <t>That's why the diameter is the diameter of the pipe system.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</si>
</sst>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"/>
    <numFmt numFmtId="182" formatCode="0.000000"/>
    <numFmt numFmtId="183" formatCode="0.000000000"/>
    <numFmt numFmtId="184" formatCode="0.000000000000"/>
    <numFmt numFmtId="185" formatCode="0.000E+00"/>
    <numFmt numFmtId="186" formatCode="0.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/>
    </xf>
    <xf numFmtId="0" fontId="6" fillId="0" borderId="1" xfId="0" applyFont="1" applyBorder="1" applyAlignment="1">
      <alignment horizontal="center"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18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2" borderId="0" xfId="0" applyFont="1" applyFill="1" applyAlignment="1" applyProtection="1">
      <alignment horizontal="left"/>
      <protection locked="0"/>
    </xf>
    <xf numFmtId="182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181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 applyProtection="1">
      <alignment/>
      <protection/>
    </xf>
    <xf numFmtId="0" fontId="7" fillId="2" borderId="0" xfId="0" applyFont="1" applyFill="1" applyAlignment="1" applyProtection="1">
      <alignment/>
      <protection locked="0"/>
    </xf>
    <xf numFmtId="182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2" fontId="7" fillId="0" borderId="0" xfId="0" applyNumberFormat="1" applyFont="1" applyBorder="1" applyAlignment="1" applyProtection="1">
      <alignment/>
      <protection/>
    </xf>
    <xf numFmtId="2" fontId="7" fillId="2" borderId="0" xfId="0" applyNumberFormat="1" applyFont="1" applyFill="1" applyBorder="1" applyAlignment="1" applyProtection="1">
      <alignment/>
      <protection locked="0"/>
    </xf>
    <xf numFmtId="2" fontId="7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/>
      <protection/>
    </xf>
    <xf numFmtId="0" fontId="6" fillId="0" borderId="1" xfId="0" applyFont="1" applyFill="1" applyBorder="1" applyAlignment="1" applyProtection="1">
      <alignment horizontal="center"/>
      <protection/>
    </xf>
    <xf numFmtId="9" fontId="6" fillId="0" borderId="1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/>
      <protection/>
    </xf>
    <xf numFmtId="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Continuous"/>
      <protection/>
    </xf>
    <xf numFmtId="0" fontId="6" fillId="0" borderId="3" xfId="0" applyFont="1" applyBorder="1" applyAlignment="1" applyProtection="1">
      <alignment horizontal="centerContinuous"/>
      <protection/>
    </xf>
    <xf numFmtId="0" fontId="7" fillId="0" borderId="4" xfId="0" applyFont="1" applyBorder="1" applyAlignment="1" applyProtection="1">
      <alignment horizontal="centerContinuous"/>
      <protection/>
    </xf>
    <xf numFmtId="2" fontId="7" fillId="0" borderId="0" xfId="0" applyNumberFormat="1" applyFont="1" applyAlignment="1" applyProtection="1">
      <alignment/>
      <protection/>
    </xf>
    <xf numFmtId="2" fontId="7" fillId="0" borderId="5" xfId="0" applyNumberFormat="1" applyFont="1" applyBorder="1" applyAlignment="1" applyProtection="1">
      <alignment/>
      <protection/>
    </xf>
    <xf numFmtId="2" fontId="7" fillId="0" borderId="6" xfId="0" applyNumberFormat="1" applyFont="1" applyBorder="1" applyAlignment="1" applyProtection="1">
      <alignment/>
      <protection/>
    </xf>
    <xf numFmtId="180" fontId="7" fillId="0" borderId="5" xfId="0" applyNumberFormat="1" applyFont="1" applyBorder="1" applyAlignment="1" applyProtection="1">
      <alignment/>
      <protection/>
    </xf>
    <xf numFmtId="182" fontId="7" fillId="0" borderId="6" xfId="0" applyNumberFormat="1" applyFont="1" applyBorder="1" applyAlignment="1" applyProtection="1">
      <alignment/>
      <protection/>
    </xf>
    <xf numFmtId="2" fontId="7" fillId="0" borderId="7" xfId="0" applyNumberFormat="1" applyFont="1" applyBorder="1" applyAlignment="1" applyProtection="1">
      <alignment/>
      <protection/>
    </xf>
    <xf numFmtId="2" fontId="7" fillId="0" borderId="8" xfId="0" applyNumberFormat="1" applyFont="1" applyBorder="1" applyAlignment="1" applyProtection="1">
      <alignment/>
      <protection/>
    </xf>
    <xf numFmtId="2" fontId="7" fillId="0" borderId="9" xfId="0" applyNumberFormat="1" applyFont="1" applyBorder="1" applyAlignment="1" applyProtection="1">
      <alignment/>
      <protection/>
    </xf>
    <xf numFmtId="180" fontId="7" fillId="0" borderId="7" xfId="0" applyNumberFormat="1" applyFont="1" applyBorder="1" applyAlignment="1" applyProtection="1">
      <alignment/>
      <protection/>
    </xf>
    <xf numFmtId="180" fontId="7" fillId="0" borderId="8" xfId="0" applyNumberFormat="1" applyFont="1" applyBorder="1" applyAlignment="1" applyProtection="1">
      <alignment/>
      <protection/>
    </xf>
    <xf numFmtId="182" fontId="7" fillId="0" borderId="9" xfId="0" applyNumberFormat="1" applyFont="1" applyBorder="1" applyAlignment="1" applyProtection="1">
      <alignment/>
      <protection/>
    </xf>
    <xf numFmtId="0" fontId="7" fillId="0" borderId="0" xfId="0" applyFont="1" applyAlignment="1" applyProtection="1" quotePrefix="1">
      <alignment/>
      <protection/>
    </xf>
    <xf numFmtId="181" fontId="7" fillId="2" borderId="0" xfId="0" applyNumberFormat="1" applyFont="1" applyFill="1" applyBorder="1" applyAlignment="1" applyProtection="1">
      <alignment/>
      <protection locked="0"/>
    </xf>
    <xf numFmtId="181" fontId="7" fillId="0" borderId="0" xfId="0" applyNumberFormat="1" applyFont="1" applyBorder="1" applyAlignment="1" applyProtection="1">
      <alignment/>
      <protection/>
    </xf>
    <xf numFmtId="181" fontId="7" fillId="2" borderId="0" xfId="0" applyNumberFormat="1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/>
      <protection/>
    </xf>
    <xf numFmtId="180" fontId="7" fillId="0" borderId="0" xfId="0" applyNumberFormat="1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left"/>
      <protection/>
    </xf>
    <xf numFmtId="180" fontId="7" fillId="0" borderId="0" xfId="0" applyNumberFormat="1" applyFont="1" applyAlignment="1" applyProtection="1">
      <alignment/>
      <protection/>
    </xf>
    <xf numFmtId="181" fontId="7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1" fontId="7" fillId="0" borderId="0" xfId="0" applyNumberFormat="1" applyFont="1" applyAlignment="1">
      <alignment/>
    </xf>
    <xf numFmtId="0" fontId="7" fillId="0" borderId="0" xfId="0" applyFont="1" applyFill="1" applyAlignment="1" applyProtection="1">
      <alignment/>
      <protection locked="0"/>
    </xf>
    <xf numFmtId="1" fontId="7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180" fontId="7" fillId="0" borderId="0" xfId="0" applyNumberFormat="1" applyFont="1" applyFill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Continuous"/>
    </xf>
    <xf numFmtId="180" fontId="7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" fontId="7" fillId="0" borderId="0" xfId="0" applyNumberFormat="1" applyFont="1" applyFill="1" applyAlignment="1">
      <alignment/>
    </xf>
    <xf numFmtId="0" fontId="7" fillId="3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180" fontId="7" fillId="0" borderId="0" xfId="0" applyNumberFormat="1" applyFont="1" applyFill="1" applyAlignment="1" applyProtection="1">
      <alignment/>
      <protection locked="0"/>
    </xf>
    <xf numFmtId="2" fontId="7" fillId="0" borderId="0" xfId="0" applyNumberFormat="1" applyFont="1" applyAlignment="1">
      <alignment/>
    </xf>
    <xf numFmtId="0" fontId="6" fillId="4" borderId="0" xfId="0" applyFont="1" applyFill="1" applyAlignment="1" applyProtection="1">
      <alignment horizontal="center"/>
      <protection locked="0"/>
    </xf>
    <xf numFmtId="1" fontId="7" fillId="3" borderId="0" xfId="0" applyNumberFormat="1" applyFont="1" applyFill="1" applyAlignment="1" applyProtection="1">
      <alignment/>
      <protection locked="0"/>
    </xf>
    <xf numFmtId="180" fontId="7" fillId="3" borderId="0" xfId="0" applyNumberFormat="1" applyFont="1" applyFill="1" applyAlignment="1" applyProtection="1">
      <alignment/>
      <protection locked="0"/>
    </xf>
    <xf numFmtId="0" fontId="7" fillId="3" borderId="0" xfId="0" applyFont="1" applyFill="1" applyAlignment="1" applyProtection="1">
      <alignment horizontal="left"/>
      <protection locked="0"/>
    </xf>
    <xf numFmtId="2" fontId="7" fillId="3" borderId="0" xfId="0" applyNumberFormat="1" applyFont="1" applyFill="1" applyAlignment="1" applyProtection="1">
      <alignment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182" fontId="7" fillId="0" borderId="0" xfId="0" applyNumberFormat="1" applyFont="1" applyAlignment="1">
      <alignment/>
    </xf>
    <xf numFmtId="182" fontId="7" fillId="0" borderId="0" xfId="0" applyNumberFormat="1" applyFont="1" applyFill="1" applyAlignment="1" applyProtection="1">
      <alignment/>
      <protection/>
    </xf>
    <xf numFmtId="0" fontId="6" fillId="5" borderId="0" xfId="0" applyFont="1" applyFill="1" applyBorder="1" applyAlignment="1" applyProtection="1">
      <alignment horizontal="center"/>
      <protection/>
    </xf>
    <xf numFmtId="0" fontId="7" fillId="5" borderId="0" xfId="0" applyFont="1" applyFill="1" applyAlignment="1" applyProtection="1">
      <alignment/>
      <protection/>
    </xf>
    <xf numFmtId="181" fontId="7" fillId="5" borderId="0" xfId="0" applyNumberFormat="1" applyFont="1" applyFill="1" applyAlignment="1" applyProtection="1">
      <alignment/>
      <protection/>
    </xf>
    <xf numFmtId="1" fontId="7" fillId="5" borderId="0" xfId="0" applyNumberFormat="1" applyFont="1" applyFill="1" applyBorder="1" applyAlignment="1" applyProtection="1">
      <alignment/>
      <protection/>
    </xf>
    <xf numFmtId="1" fontId="7" fillId="5" borderId="0" xfId="0" applyNumberFormat="1" applyFont="1" applyFill="1" applyAlignment="1" applyProtection="1">
      <alignment/>
      <protection/>
    </xf>
    <xf numFmtId="182" fontId="7" fillId="5" borderId="0" xfId="0" applyNumberFormat="1" applyFont="1" applyFill="1" applyAlignment="1" applyProtection="1">
      <alignment/>
      <protection/>
    </xf>
    <xf numFmtId="180" fontId="7" fillId="5" borderId="0" xfId="0" applyNumberFormat="1" applyFont="1" applyFill="1" applyBorder="1" applyAlignment="1" applyProtection="1">
      <alignment/>
      <protection/>
    </xf>
    <xf numFmtId="2" fontId="7" fillId="5" borderId="0" xfId="0" applyNumberFormat="1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6" fillId="5" borderId="0" xfId="0" applyFont="1" applyFill="1" applyBorder="1" applyAlignment="1">
      <alignment horizontal="center"/>
    </xf>
    <xf numFmtId="180" fontId="7" fillId="5" borderId="0" xfId="0" applyNumberFormat="1" applyFont="1" applyFill="1" applyAlignment="1">
      <alignment/>
    </xf>
    <xf numFmtId="181" fontId="7" fillId="5" borderId="0" xfId="0" applyNumberFormat="1" applyFont="1" applyFill="1" applyAlignment="1">
      <alignment/>
    </xf>
    <xf numFmtId="0" fontId="7" fillId="5" borderId="0" xfId="0" applyFont="1" applyFill="1" applyBorder="1" applyAlignment="1">
      <alignment horizontal="centerContinuous"/>
    </xf>
    <xf numFmtId="0" fontId="7" fillId="5" borderId="0" xfId="0" applyFont="1" applyFill="1" applyBorder="1" applyAlignment="1">
      <alignment/>
    </xf>
    <xf numFmtId="0" fontId="7" fillId="5" borderId="0" xfId="0" applyFont="1" applyFill="1" applyAlignment="1">
      <alignment/>
    </xf>
    <xf numFmtId="180" fontId="7" fillId="3" borderId="0" xfId="0" applyNumberFormat="1" applyFont="1" applyFill="1" applyAlignment="1" applyProtection="1">
      <alignment/>
      <protection locked="0"/>
    </xf>
    <xf numFmtId="1" fontId="7" fillId="0" borderId="0" xfId="0" applyNumberFormat="1" applyFont="1" applyFill="1" applyAlignment="1" applyProtection="1">
      <alignment/>
      <protection/>
    </xf>
    <xf numFmtId="181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/>
      <protection/>
    </xf>
    <xf numFmtId="9" fontId="6" fillId="0" borderId="10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/>
      <protection/>
    </xf>
    <xf numFmtId="0" fontId="7" fillId="0" borderId="4" xfId="0" applyNumberFormat="1" applyFont="1" applyBorder="1" applyAlignment="1" applyProtection="1">
      <alignment/>
      <protection/>
    </xf>
    <xf numFmtId="0" fontId="6" fillId="0" borderId="11" xfId="0" applyNumberFormat="1" applyFont="1" applyBorder="1" applyAlignment="1" applyProtection="1">
      <alignment horizontal="center"/>
      <protection/>
    </xf>
    <xf numFmtId="9" fontId="6" fillId="0" borderId="5" xfId="0" applyNumberFormat="1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2" fontId="7" fillId="0" borderId="2" xfId="0" applyNumberFormat="1" applyFont="1" applyBorder="1" applyAlignment="1" applyProtection="1">
      <alignment/>
      <protection/>
    </xf>
    <xf numFmtId="2" fontId="7" fillId="0" borderId="3" xfId="0" applyNumberFormat="1" applyFont="1" applyBorder="1" applyAlignment="1" applyProtection="1">
      <alignment/>
      <protection/>
    </xf>
    <xf numFmtId="2" fontId="7" fillId="0" borderId="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9"/>
  <sheetViews>
    <sheetView workbookViewId="0" topLeftCell="A1">
      <selection activeCell="E25" sqref="E25"/>
    </sheetView>
  </sheetViews>
  <sheetFormatPr defaultColWidth="9.140625" defaultRowHeight="12.75"/>
  <cols>
    <col min="1" max="16384" width="9.140625" style="4" customWidth="1"/>
  </cols>
  <sheetData>
    <row r="1" ht="11.25">
      <c r="A1" s="3" t="s">
        <v>98</v>
      </c>
    </row>
    <row r="3" ht="11.25">
      <c r="A3" s="4" t="s">
        <v>99</v>
      </c>
    </row>
    <row r="5" spans="1:5" ht="11.25">
      <c r="A5" s="3" t="s">
        <v>83</v>
      </c>
      <c r="E5" s="4" t="s">
        <v>100</v>
      </c>
    </row>
    <row r="6" spans="1:5" ht="11.25">
      <c r="A6" s="3" t="s">
        <v>101</v>
      </c>
      <c r="E6" s="4" t="s">
        <v>102</v>
      </c>
    </row>
    <row r="7" spans="1:5" ht="11.25">
      <c r="A7" s="3" t="s">
        <v>103</v>
      </c>
      <c r="E7" s="4" t="s">
        <v>104</v>
      </c>
    </row>
    <row r="8" spans="1:5" ht="11.25">
      <c r="A8" s="3" t="s">
        <v>105</v>
      </c>
      <c r="E8" s="4" t="s">
        <v>106</v>
      </c>
    </row>
    <row r="9" spans="1:5" ht="11.25">
      <c r="A9" s="3" t="s">
        <v>107</v>
      </c>
      <c r="E9" s="4" t="s">
        <v>108</v>
      </c>
    </row>
    <row r="10" ht="11.25">
      <c r="A10" s="3"/>
    </row>
    <row r="11" spans="1:7" ht="11.25">
      <c r="A11" s="4" t="s">
        <v>109</v>
      </c>
      <c r="G11" s="83"/>
    </row>
    <row r="12" ht="11.25">
      <c r="A12" s="4" t="s">
        <v>110</v>
      </c>
    </row>
    <row r="15" ht="11.25">
      <c r="B15" s="3"/>
    </row>
    <row r="16" ht="11.25">
      <c r="A16" s="4" t="s">
        <v>111</v>
      </c>
    </row>
    <row r="18" spans="1:9" s="61" customFormat="1" ht="11.25">
      <c r="A18" s="3" t="s">
        <v>84</v>
      </c>
      <c r="B18" s="4"/>
      <c r="C18" s="4" t="s">
        <v>112</v>
      </c>
      <c r="D18" s="4"/>
      <c r="E18" s="4"/>
      <c r="F18" s="4"/>
      <c r="G18" s="4"/>
      <c r="H18" s="4"/>
      <c r="I18" s="4"/>
    </row>
    <row r="19" spans="1:3" ht="11.25">
      <c r="A19" s="3" t="s">
        <v>0</v>
      </c>
      <c r="C19" s="4" t="s">
        <v>113</v>
      </c>
    </row>
  </sheetData>
  <sheetProtection sheet="1" objects="1" scenarios="1"/>
  <printOptions gridLines="1"/>
  <pageMargins left="0.984251968503937" right="0.5905511811023623" top="0.5905511811023623" bottom="0.7874015748031497" header="0" footer="0.5905511811023623"/>
  <pageSetup horizontalDpi="300" verticalDpi="300" orientation="portrait" paperSize="9" r:id="rId1"/>
  <headerFooter alignWithMargins="0">
    <oddFooter>&amp;CFile: &amp;F     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61"/>
  <sheetViews>
    <sheetView workbookViewId="0" topLeftCell="A1">
      <selection activeCell="L11" sqref="L11"/>
    </sheetView>
  </sheetViews>
  <sheetFormatPr defaultColWidth="9.140625" defaultRowHeight="12.75"/>
  <cols>
    <col min="1" max="1" width="3.7109375" style="4" customWidth="1"/>
    <col min="2" max="16384" width="9.140625" style="4" customWidth="1"/>
  </cols>
  <sheetData>
    <row r="1" ht="11.25">
      <c r="A1" s="3" t="s">
        <v>98</v>
      </c>
    </row>
    <row r="4" spans="1:6" ht="11.25">
      <c r="A4" s="3" t="s">
        <v>114</v>
      </c>
      <c r="E4" s="5" t="s">
        <v>3</v>
      </c>
      <c r="F4" s="49" t="s">
        <v>115</v>
      </c>
    </row>
    <row r="5" spans="1:6" ht="11.25">
      <c r="A5" s="3"/>
      <c r="E5" s="5" t="s">
        <v>4</v>
      </c>
      <c r="F5" s="49" t="s">
        <v>116</v>
      </c>
    </row>
    <row r="6" spans="1:6" ht="11.25">
      <c r="A6" s="3"/>
      <c r="E6" s="5" t="s">
        <v>5</v>
      </c>
      <c r="F6" s="49" t="s">
        <v>117</v>
      </c>
    </row>
    <row r="7" spans="1:6" ht="11.25">
      <c r="A7" s="3"/>
      <c r="E7" s="5" t="s">
        <v>6</v>
      </c>
      <c r="F7" s="49" t="s">
        <v>118</v>
      </c>
    </row>
    <row r="8" spans="5:6" ht="11.25">
      <c r="E8" s="5"/>
      <c r="F8" s="49"/>
    </row>
    <row r="9" ht="11.25">
      <c r="A9" s="3" t="s">
        <v>119</v>
      </c>
    </row>
    <row r="10" spans="1:6" ht="11.25">
      <c r="A10" s="3"/>
      <c r="B10" s="10" t="s">
        <v>80</v>
      </c>
      <c r="C10" s="10" t="s">
        <v>80</v>
      </c>
      <c r="D10" s="10" t="s">
        <v>80</v>
      </c>
      <c r="E10" s="10" t="s">
        <v>80</v>
      </c>
      <c r="F10" s="10" t="s">
        <v>80</v>
      </c>
    </row>
    <row r="11" spans="1:7" ht="12" thickBot="1">
      <c r="A11" s="11" t="s">
        <v>7</v>
      </c>
      <c r="B11" s="11" t="s">
        <v>3</v>
      </c>
      <c r="C11" s="11" t="s">
        <v>4</v>
      </c>
      <c r="D11" s="11" t="s">
        <v>5</v>
      </c>
      <c r="E11" s="11" t="s">
        <v>8</v>
      </c>
      <c r="F11" s="11" t="s">
        <v>9</v>
      </c>
      <c r="G11" s="11" t="s">
        <v>10</v>
      </c>
    </row>
    <row r="12" spans="1:7" ht="11.25">
      <c r="A12" s="12">
        <v>1</v>
      </c>
      <c r="B12" s="50">
        <v>100</v>
      </c>
      <c r="C12" s="50">
        <v>200</v>
      </c>
      <c r="D12" s="50">
        <v>102</v>
      </c>
      <c r="E12" s="51">
        <f>C12-B12</f>
        <v>100</v>
      </c>
      <c r="F12" s="51">
        <f>D12-B12</f>
        <v>2</v>
      </c>
      <c r="G12" s="29">
        <f>F12/E12</f>
        <v>0.02</v>
      </c>
    </row>
    <row r="13" spans="1:7" ht="11.25">
      <c r="A13" s="12">
        <f>A12+1</f>
        <v>2</v>
      </c>
      <c r="B13" s="50">
        <v>100</v>
      </c>
      <c r="C13" s="50">
        <v>200</v>
      </c>
      <c r="D13" s="50">
        <v>102</v>
      </c>
      <c r="E13" s="51">
        <f>C13-B13</f>
        <v>100</v>
      </c>
      <c r="F13" s="51">
        <f>D13-B13</f>
        <v>2</v>
      </c>
      <c r="G13" s="29">
        <f>F13/E13</f>
        <v>0.02</v>
      </c>
    </row>
    <row r="14" spans="1:7" ht="11.25">
      <c r="A14" s="12">
        <f>A13+1</f>
        <v>3</v>
      </c>
      <c r="B14" s="50">
        <v>100</v>
      </c>
      <c r="C14" s="50">
        <v>200</v>
      </c>
      <c r="D14" s="50">
        <v>102</v>
      </c>
      <c r="E14" s="51">
        <f>C14-B14</f>
        <v>100</v>
      </c>
      <c r="F14" s="51">
        <f>D14-B14</f>
        <v>2</v>
      </c>
      <c r="G14" s="29">
        <f>F14/E14</f>
        <v>0.02</v>
      </c>
    </row>
    <row r="15" spans="1:7" ht="11.25">
      <c r="A15" s="125" t="s">
        <v>122</v>
      </c>
      <c r="B15" s="125"/>
      <c r="C15" s="19"/>
      <c r="D15" s="19"/>
      <c r="E15" s="19"/>
      <c r="G15" s="29">
        <f>SUM(G12:G14)/3</f>
        <v>0.02</v>
      </c>
    </row>
    <row r="16" spans="1:7" ht="11.25">
      <c r="A16" s="5"/>
      <c r="B16" s="19"/>
      <c r="C16" s="19"/>
      <c r="D16" s="19"/>
      <c r="E16" s="19"/>
      <c r="G16" s="29"/>
    </row>
    <row r="17" spans="1:7" ht="11.25">
      <c r="A17" s="3"/>
      <c r="B17" s="19"/>
      <c r="C17" s="19"/>
      <c r="D17" s="19"/>
      <c r="E17" s="19"/>
      <c r="F17" s="19"/>
      <c r="G17" s="29"/>
    </row>
    <row r="18" ht="11.25">
      <c r="A18" s="3" t="s">
        <v>120</v>
      </c>
    </row>
    <row r="19" spans="1:6" ht="11.25">
      <c r="A19" s="3"/>
      <c r="B19" s="10" t="s">
        <v>80</v>
      </c>
      <c r="C19" s="10" t="s">
        <v>80</v>
      </c>
      <c r="D19" s="10" t="s">
        <v>80</v>
      </c>
      <c r="E19" s="10" t="s">
        <v>80</v>
      </c>
      <c r="F19" s="10" t="s">
        <v>80</v>
      </c>
    </row>
    <row r="20" spans="1:8" ht="12" thickBot="1">
      <c r="A20" s="11" t="s">
        <v>7</v>
      </c>
      <c r="B20" s="11" t="s">
        <v>3</v>
      </c>
      <c r="C20" s="11" t="s">
        <v>4</v>
      </c>
      <c r="D20" s="11" t="s">
        <v>5</v>
      </c>
      <c r="E20" s="11" t="s">
        <v>8</v>
      </c>
      <c r="F20" s="11" t="s">
        <v>9</v>
      </c>
      <c r="G20" s="11" t="s">
        <v>11</v>
      </c>
      <c r="H20" s="12"/>
    </row>
    <row r="21" spans="1:7" ht="11.25">
      <c r="A21" s="12">
        <v>1</v>
      </c>
      <c r="B21" s="50">
        <v>100</v>
      </c>
      <c r="C21" s="50">
        <v>200</v>
      </c>
      <c r="D21" s="52">
        <v>101</v>
      </c>
      <c r="E21" s="51">
        <f aca="true" t="shared" si="0" ref="E21:E28">C21-B21</f>
        <v>100</v>
      </c>
      <c r="F21" s="51">
        <f aca="true" t="shared" si="1" ref="F21:F28">D21-B21</f>
        <v>1</v>
      </c>
      <c r="G21" s="29">
        <f aca="true" t="shared" si="2" ref="G21:G28">F21/E21</f>
        <v>0.01</v>
      </c>
    </row>
    <row r="22" spans="1:7" ht="11.25">
      <c r="A22" s="12">
        <f aca="true" t="shared" si="3" ref="A22:A28">A21+1</f>
        <v>2</v>
      </c>
      <c r="B22" s="50">
        <v>100</v>
      </c>
      <c r="C22" s="50">
        <v>200</v>
      </c>
      <c r="D22" s="52">
        <f>D21+0.1</f>
        <v>101.1</v>
      </c>
      <c r="E22" s="51">
        <f t="shared" si="0"/>
        <v>100</v>
      </c>
      <c r="F22" s="51">
        <f t="shared" si="1"/>
        <v>1.0999999999999943</v>
      </c>
      <c r="G22" s="29">
        <f t="shared" si="2"/>
        <v>0.010999999999999944</v>
      </c>
    </row>
    <row r="23" spans="1:7" ht="11.25">
      <c r="A23" s="12">
        <f t="shared" si="3"/>
        <v>3</v>
      </c>
      <c r="B23" s="50">
        <v>100</v>
      </c>
      <c r="C23" s="50">
        <v>200</v>
      </c>
      <c r="D23" s="52">
        <f aca="true" t="shared" si="4" ref="D23:D28">D22+0.1</f>
        <v>101.19999999999999</v>
      </c>
      <c r="E23" s="51">
        <f t="shared" si="0"/>
        <v>100</v>
      </c>
      <c r="F23" s="51">
        <f t="shared" si="1"/>
        <v>1.1999999999999886</v>
      </c>
      <c r="G23" s="29">
        <f t="shared" si="2"/>
        <v>0.011999999999999886</v>
      </c>
    </row>
    <row r="24" spans="1:7" ht="11.25">
      <c r="A24" s="12">
        <f t="shared" si="3"/>
        <v>4</v>
      </c>
      <c r="B24" s="50">
        <v>100</v>
      </c>
      <c r="C24" s="50">
        <v>200</v>
      </c>
      <c r="D24" s="52">
        <f t="shared" si="4"/>
        <v>101.29999999999998</v>
      </c>
      <c r="E24" s="51">
        <f t="shared" si="0"/>
        <v>100</v>
      </c>
      <c r="F24" s="51">
        <f t="shared" si="1"/>
        <v>1.299999999999983</v>
      </c>
      <c r="G24" s="29">
        <f t="shared" si="2"/>
        <v>0.01299999999999983</v>
      </c>
    </row>
    <row r="25" spans="1:7" ht="11.25">
      <c r="A25" s="12">
        <f t="shared" si="3"/>
        <v>5</v>
      </c>
      <c r="B25" s="50">
        <v>100</v>
      </c>
      <c r="C25" s="50">
        <v>200</v>
      </c>
      <c r="D25" s="52">
        <f t="shared" si="4"/>
        <v>101.39999999999998</v>
      </c>
      <c r="E25" s="51">
        <f t="shared" si="0"/>
        <v>100</v>
      </c>
      <c r="F25" s="51">
        <f t="shared" si="1"/>
        <v>1.3999999999999773</v>
      </c>
      <c r="G25" s="29">
        <f t="shared" si="2"/>
        <v>0.013999999999999773</v>
      </c>
    </row>
    <row r="26" spans="1:7" ht="11.25">
      <c r="A26" s="12">
        <f t="shared" si="3"/>
        <v>6</v>
      </c>
      <c r="B26" s="50">
        <v>100</v>
      </c>
      <c r="C26" s="50">
        <v>200</v>
      </c>
      <c r="D26" s="52">
        <f t="shared" si="4"/>
        <v>101.49999999999997</v>
      </c>
      <c r="E26" s="51">
        <f t="shared" si="0"/>
        <v>100</v>
      </c>
      <c r="F26" s="51">
        <f t="shared" si="1"/>
        <v>1.4999999999999716</v>
      </c>
      <c r="G26" s="29">
        <f t="shared" si="2"/>
        <v>0.014999999999999715</v>
      </c>
    </row>
    <row r="27" spans="1:7" ht="11.25">
      <c r="A27" s="12">
        <f t="shared" si="3"/>
        <v>7</v>
      </c>
      <c r="B27" s="50">
        <v>100</v>
      </c>
      <c r="C27" s="50">
        <v>200</v>
      </c>
      <c r="D27" s="52">
        <f t="shared" si="4"/>
        <v>101.59999999999997</v>
      </c>
      <c r="E27" s="51">
        <f t="shared" si="0"/>
        <v>100</v>
      </c>
      <c r="F27" s="51">
        <f t="shared" si="1"/>
        <v>1.599999999999966</v>
      </c>
      <c r="G27" s="29">
        <f t="shared" si="2"/>
        <v>0.01599999999999966</v>
      </c>
    </row>
    <row r="28" spans="1:7" ht="11.25">
      <c r="A28" s="12">
        <f t="shared" si="3"/>
        <v>8</v>
      </c>
      <c r="B28" s="50">
        <v>100</v>
      </c>
      <c r="C28" s="50">
        <v>200</v>
      </c>
      <c r="D28" s="52">
        <f t="shared" si="4"/>
        <v>101.69999999999996</v>
      </c>
      <c r="E28" s="51">
        <f t="shared" si="0"/>
        <v>100</v>
      </c>
      <c r="F28" s="51">
        <f t="shared" si="1"/>
        <v>1.6999999999999602</v>
      </c>
      <c r="G28" s="29">
        <f t="shared" si="2"/>
        <v>0.016999999999999602</v>
      </c>
    </row>
    <row r="31" ht="11.25">
      <c r="A31" s="3" t="s">
        <v>121</v>
      </c>
    </row>
    <row r="32" spans="1:6" ht="11.25">
      <c r="A32" s="3"/>
      <c r="B32" s="10" t="s">
        <v>80</v>
      </c>
      <c r="C32" s="10" t="s">
        <v>80</v>
      </c>
      <c r="D32" s="10" t="s">
        <v>80</v>
      </c>
      <c r="E32" s="10" t="s">
        <v>80</v>
      </c>
      <c r="F32" s="10" t="s">
        <v>80</v>
      </c>
    </row>
    <row r="33" spans="1:8" ht="12" thickBot="1">
      <c r="A33" s="11" t="s">
        <v>7</v>
      </c>
      <c r="B33" s="11" t="s">
        <v>3</v>
      </c>
      <c r="C33" s="11" t="s">
        <v>4</v>
      </c>
      <c r="D33" s="11" t="s">
        <v>5</v>
      </c>
      <c r="E33" s="11" t="s">
        <v>8</v>
      </c>
      <c r="F33" s="11" t="s">
        <v>9</v>
      </c>
      <c r="G33" s="11" t="s">
        <v>12</v>
      </c>
      <c r="H33" s="12"/>
    </row>
    <row r="34" spans="1:7" ht="11.25">
      <c r="A34" s="12">
        <v>1</v>
      </c>
      <c r="B34" s="50">
        <v>100</v>
      </c>
      <c r="C34" s="50">
        <v>200</v>
      </c>
      <c r="D34" s="52">
        <v>105</v>
      </c>
      <c r="E34" s="51">
        <f aca="true" t="shared" si="5" ref="E34:E41">C34-B34</f>
        <v>100</v>
      </c>
      <c r="F34" s="51">
        <f aca="true" t="shared" si="6" ref="F34:F41">D34-B34</f>
        <v>5</v>
      </c>
      <c r="G34" s="29">
        <f aca="true" t="shared" si="7" ref="G34:G41">F34/E34</f>
        <v>0.05</v>
      </c>
    </row>
    <row r="35" spans="1:7" ht="11.25">
      <c r="A35" s="12">
        <f aca="true" t="shared" si="8" ref="A35:A41">A34+1</f>
        <v>2</v>
      </c>
      <c r="B35" s="50">
        <v>100</v>
      </c>
      <c r="C35" s="50">
        <v>200</v>
      </c>
      <c r="D35" s="52">
        <f>D34+1</f>
        <v>106</v>
      </c>
      <c r="E35" s="51">
        <f t="shared" si="5"/>
        <v>100</v>
      </c>
      <c r="F35" s="51">
        <f t="shared" si="6"/>
        <v>6</v>
      </c>
      <c r="G35" s="29">
        <f t="shared" si="7"/>
        <v>0.06</v>
      </c>
    </row>
    <row r="36" spans="1:7" ht="11.25">
      <c r="A36" s="12">
        <f t="shared" si="8"/>
        <v>3</v>
      </c>
      <c r="B36" s="50">
        <v>100</v>
      </c>
      <c r="C36" s="50">
        <v>200</v>
      </c>
      <c r="D36" s="52">
        <f aca="true" t="shared" si="9" ref="D36:D41">D35+1</f>
        <v>107</v>
      </c>
      <c r="E36" s="51">
        <f t="shared" si="5"/>
        <v>100</v>
      </c>
      <c r="F36" s="51">
        <f t="shared" si="6"/>
        <v>7</v>
      </c>
      <c r="G36" s="29">
        <f t="shared" si="7"/>
        <v>0.07</v>
      </c>
    </row>
    <row r="37" spans="1:7" ht="11.25">
      <c r="A37" s="12">
        <f t="shared" si="8"/>
        <v>4</v>
      </c>
      <c r="B37" s="50">
        <v>100</v>
      </c>
      <c r="C37" s="50">
        <v>200</v>
      </c>
      <c r="D37" s="52">
        <f t="shared" si="9"/>
        <v>108</v>
      </c>
      <c r="E37" s="51">
        <f t="shared" si="5"/>
        <v>100</v>
      </c>
      <c r="F37" s="51">
        <f t="shared" si="6"/>
        <v>8</v>
      </c>
      <c r="G37" s="29">
        <f t="shared" si="7"/>
        <v>0.08</v>
      </c>
    </row>
    <row r="38" spans="1:7" ht="11.25">
      <c r="A38" s="12">
        <f t="shared" si="8"/>
        <v>5</v>
      </c>
      <c r="B38" s="50">
        <v>100</v>
      </c>
      <c r="C38" s="50">
        <v>200</v>
      </c>
      <c r="D38" s="52">
        <f t="shared" si="9"/>
        <v>109</v>
      </c>
      <c r="E38" s="51">
        <f t="shared" si="5"/>
        <v>100</v>
      </c>
      <c r="F38" s="51">
        <f t="shared" si="6"/>
        <v>9</v>
      </c>
      <c r="G38" s="29">
        <f t="shared" si="7"/>
        <v>0.09</v>
      </c>
    </row>
    <row r="39" spans="1:7" ht="11.25">
      <c r="A39" s="12">
        <f t="shared" si="8"/>
        <v>6</v>
      </c>
      <c r="B39" s="50">
        <v>100</v>
      </c>
      <c r="C39" s="50">
        <v>200</v>
      </c>
      <c r="D39" s="52">
        <f t="shared" si="9"/>
        <v>110</v>
      </c>
      <c r="E39" s="51">
        <f t="shared" si="5"/>
        <v>100</v>
      </c>
      <c r="F39" s="51">
        <f t="shared" si="6"/>
        <v>10</v>
      </c>
      <c r="G39" s="29">
        <f t="shared" si="7"/>
        <v>0.1</v>
      </c>
    </row>
    <row r="40" spans="1:7" ht="11.25">
      <c r="A40" s="12">
        <f t="shared" si="8"/>
        <v>7</v>
      </c>
      <c r="B40" s="50">
        <v>100</v>
      </c>
      <c r="C40" s="50">
        <v>200</v>
      </c>
      <c r="D40" s="52">
        <f t="shared" si="9"/>
        <v>111</v>
      </c>
      <c r="E40" s="51">
        <f t="shared" si="5"/>
        <v>100</v>
      </c>
      <c r="F40" s="51">
        <f t="shared" si="6"/>
        <v>11</v>
      </c>
      <c r="G40" s="29">
        <f t="shared" si="7"/>
        <v>0.11</v>
      </c>
    </row>
    <row r="41" spans="1:7" ht="11.25">
      <c r="A41" s="12">
        <f t="shared" si="8"/>
        <v>8</v>
      </c>
      <c r="B41" s="50">
        <v>100</v>
      </c>
      <c r="C41" s="50">
        <v>200</v>
      </c>
      <c r="D41" s="52">
        <f t="shared" si="9"/>
        <v>112</v>
      </c>
      <c r="E41" s="51">
        <f t="shared" si="5"/>
        <v>100</v>
      </c>
      <c r="F41" s="51">
        <f t="shared" si="6"/>
        <v>12</v>
      </c>
      <c r="G41" s="29">
        <f t="shared" si="7"/>
        <v>0.12</v>
      </c>
    </row>
    <row r="43" spans="1:10" ht="11.25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1.25">
      <c r="A44" s="53"/>
      <c r="B44" s="34"/>
      <c r="C44" s="34"/>
      <c r="D44" s="54"/>
      <c r="E44" s="53"/>
      <c r="F44" s="34"/>
      <c r="G44" s="34"/>
      <c r="H44" s="34"/>
      <c r="I44" s="34"/>
      <c r="J44" s="34"/>
    </row>
    <row r="45" spans="1:10" ht="11.25">
      <c r="A45" s="55"/>
      <c r="B45" s="55"/>
      <c r="C45" s="55"/>
      <c r="D45" s="55"/>
      <c r="E45" s="55"/>
      <c r="F45" s="55"/>
      <c r="G45" s="55"/>
      <c r="H45" s="34"/>
      <c r="I45" s="34"/>
      <c r="J45" s="34"/>
    </row>
    <row r="46" spans="1:10" ht="11.25">
      <c r="A46" s="55"/>
      <c r="B46" s="34"/>
      <c r="C46" s="56"/>
      <c r="D46" s="56"/>
      <c r="E46" s="56"/>
      <c r="F46" s="30"/>
      <c r="G46" s="30"/>
      <c r="H46" s="34"/>
      <c r="I46" s="34"/>
      <c r="J46" s="34"/>
    </row>
    <row r="47" spans="1:10" ht="11.25">
      <c r="A47" s="55"/>
      <c r="B47" s="34"/>
      <c r="C47" s="56"/>
      <c r="D47" s="56"/>
      <c r="E47" s="56"/>
      <c r="F47" s="30"/>
      <c r="G47" s="30"/>
      <c r="H47" s="34"/>
      <c r="I47" s="34"/>
      <c r="J47" s="34"/>
    </row>
    <row r="48" spans="1:10" ht="11.25">
      <c r="A48" s="55"/>
      <c r="B48" s="34"/>
      <c r="C48" s="56"/>
      <c r="D48" s="56"/>
      <c r="E48" s="56"/>
      <c r="F48" s="30"/>
      <c r="G48" s="30"/>
      <c r="H48" s="34"/>
      <c r="I48" s="34"/>
      <c r="J48" s="34"/>
    </row>
    <row r="49" spans="1:10" ht="11.25">
      <c r="A49" s="55"/>
      <c r="B49" s="34"/>
      <c r="C49" s="56"/>
      <c r="D49" s="56"/>
      <c r="E49" s="56"/>
      <c r="F49" s="30"/>
      <c r="G49" s="30"/>
      <c r="H49" s="34"/>
      <c r="I49" s="34"/>
      <c r="J49" s="34"/>
    </row>
    <row r="50" spans="1:10" ht="11.25">
      <c r="A50" s="55"/>
      <c r="B50" s="34"/>
      <c r="C50" s="56"/>
      <c r="D50" s="56"/>
      <c r="E50" s="56"/>
      <c r="F50" s="30"/>
      <c r="G50" s="30"/>
      <c r="H50" s="34"/>
      <c r="I50" s="34"/>
      <c r="J50" s="34"/>
    </row>
    <row r="51" spans="1:10" ht="11.25">
      <c r="A51" s="55"/>
      <c r="B51" s="34"/>
      <c r="C51" s="56"/>
      <c r="D51" s="56"/>
      <c r="E51" s="56"/>
      <c r="F51" s="30"/>
      <c r="G51" s="30"/>
      <c r="H51" s="34"/>
      <c r="I51" s="34"/>
      <c r="J51" s="34"/>
    </row>
    <row r="52" spans="1:10" ht="11.25">
      <c r="A52" s="55"/>
      <c r="B52" s="34"/>
      <c r="C52" s="56"/>
      <c r="D52" s="56"/>
      <c r="E52" s="56"/>
      <c r="F52" s="30"/>
      <c r="G52" s="30"/>
      <c r="H52" s="34"/>
      <c r="I52" s="34"/>
      <c r="J52" s="34"/>
    </row>
    <row r="53" spans="1:10" ht="11.25">
      <c r="A53" s="55"/>
      <c r="B53" s="34"/>
      <c r="C53" s="56"/>
      <c r="D53" s="56"/>
      <c r="E53" s="56"/>
      <c r="F53" s="30"/>
      <c r="G53" s="30"/>
      <c r="H53" s="34"/>
      <c r="I53" s="34"/>
      <c r="J53" s="34"/>
    </row>
    <row r="54" spans="1:10" ht="11.25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1.25">
      <c r="A55" s="53"/>
      <c r="B55" s="55"/>
      <c r="C55" s="34"/>
      <c r="D55" s="34"/>
      <c r="E55" s="34"/>
      <c r="F55" s="34"/>
      <c r="G55" s="34"/>
      <c r="H55" s="34"/>
      <c r="I55" s="34"/>
      <c r="J55" s="34"/>
    </row>
    <row r="56" spans="1:10" ht="11.25">
      <c r="A56" s="55"/>
      <c r="B56" s="56"/>
      <c r="C56" s="56"/>
      <c r="D56" s="30"/>
      <c r="E56" s="30"/>
      <c r="F56" s="30"/>
      <c r="G56" s="30"/>
      <c r="H56" s="30"/>
      <c r="I56" s="30"/>
      <c r="J56" s="34"/>
    </row>
    <row r="57" spans="1:10" ht="11.25">
      <c r="A57" s="55"/>
      <c r="B57" s="56"/>
      <c r="C57" s="56"/>
      <c r="D57" s="30"/>
      <c r="E57" s="30"/>
      <c r="F57" s="30"/>
      <c r="G57" s="30"/>
      <c r="H57" s="30"/>
      <c r="I57" s="30"/>
      <c r="J57" s="34"/>
    </row>
    <row r="58" spans="1:10" ht="11.25">
      <c r="A58" s="55"/>
      <c r="B58" s="56"/>
      <c r="C58" s="56"/>
      <c r="D58" s="30"/>
      <c r="E58" s="30"/>
      <c r="F58" s="30"/>
      <c r="G58" s="30"/>
      <c r="H58" s="30"/>
      <c r="I58" s="30"/>
      <c r="J58" s="34"/>
    </row>
    <row r="59" spans="1:10" ht="11.25">
      <c r="A59" s="55"/>
      <c r="B59" s="56"/>
      <c r="C59" s="56"/>
      <c r="D59" s="30"/>
      <c r="E59" s="30"/>
      <c r="F59" s="30"/>
      <c r="G59" s="30"/>
      <c r="H59" s="30"/>
      <c r="I59" s="30"/>
      <c r="J59" s="34"/>
    </row>
    <row r="60" spans="1:10" ht="11.25">
      <c r="A60" s="55"/>
      <c r="B60" s="56"/>
      <c r="C60" s="56"/>
      <c r="D60" s="30"/>
      <c r="E60" s="30"/>
      <c r="F60" s="30"/>
      <c r="G60" s="30"/>
      <c r="H60" s="30"/>
      <c r="I60" s="30"/>
      <c r="J60" s="34"/>
    </row>
    <row r="61" spans="1:10" ht="11.25">
      <c r="A61" s="55"/>
      <c r="B61" s="56"/>
      <c r="C61" s="56"/>
      <c r="D61" s="30"/>
      <c r="E61" s="30"/>
      <c r="F61" s="30"/>
      <c r="G61" s="30"/>
      <c r="H61" s="30"/>
      <c r="I61" s="30"/>
      <c r="J61" s="34"/>
    </row>
  </sheetData>
  <sheetProtection sheet="1" objects="1" scenarios="1"/>
  <mergeCells count="1">
    <mergeCell ref="A15:B15"/>
  </mergeCells>
  <printOptions gridLines="1"/>
  <pageMargins left="0.984251968503937" right="0.5905511811023623" top="0.5905511811023623" bottom="0.7874015748031497" header="0" footer="0.5905511811023623"/>
  <pageSetup horizontalDpi="300" verticalDpi="300" orientation="portrait" paperSize="9" r:id="rId1"/>
  <headerFooter alignWithMargins="0">
    <oddFooter>&amp;CFile: &amp;F     Sheet: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K45"/>
  <sheetViews>
    <sheetView workbookViewId="0" topLeftCell="A1">
      <selection activeCell="K29" sqref="K29"/>
    </sheetView>
  </sheetViews>
  <sheetFormatPr defaultColWidth="9.140625" defaultRowHeight="12.75"/>
  <cols>
    <col min="1" max="1" width="3.7109375" style="4" customWidth="1"/>
    <col min="2" max="2" width="9.421875" style="4" bestFit="1" customWidth="1"/>
    <col min="3" max="3" width="9.140625" style="4" customWidth="1"/>
    <col min="4" max="4" width="9.57421875" style="4" bestFit="1" customWidth="1"/>
    <col min="5" max="16384" width="9.140625" style="4" customWidth="1"/>
  </cols>
  <sheetData>
    <row r="1" spans="1:7" ht="11.25">
      <c r="A1" s="3" t="s">
        <v>98</v>
      </c>
      <c r="F1" s="5"/>
      <c r="G1" s="5"/>
    </row>
    <row r="2" spans="6:10" ht="11.25">
      <c r="F2" s="5"/>
      <c r="G2" s="5"/>
      <c r="J2" s="4" t="s">
        <v>45</v>
      </c>
    </row>
    <row r="3" spans="9:11" ht="11.25">
      <c r="I3" s="5" t="s">
        <v>51</v>
      </c>
      <c r="J3" s="57">
        <v>1000</v>
      </c>
      <c r="K3" s="4" t="s">
        <v>123</v>
      </c>
    </row>
    <row r="4" spans="2:11" ht="11.25">
      <c r="B4" s="5"/>
      <c r="C4" s="3"/>
      <c r="K4" s="4" t="s">
        <v>124</v>
      </c>
    </row>
    <row r="5" spans="4:11" ht="11.25">
      <c r="D5" s="5"/>
      <c r="E5" s="3"/>
      <c r="K5" s="4" t="s">
        <v>125</v>
      </c>
    </row>
    <row r="6" ht="11.25">
      <c r="A6" s="3" t="s">
        <v>126</v>
      </c>
    </row>
    <row r="7" spans="1:2" ht="11.25">
      <c r="A7" s="3"/>
      <c r="B7" s="3"/>
    </row>
    <row r="8" spans="1:9" ht="11.25">
      <c r="A8" s="3"/>
      <c r="B8" s="1" t="s">
        <v>85</v>
      </c>
      <c r="C8" s="10" t="s">
        <v>40</v>
      </c>
      <c r="D8" s="10" t="s">
        <v>38</v>
      </c>
      <c r="E8" s="10" t="s">
        <v>39</v>
      </c>
      <c r="F8" s="10" t="s">
        <v>39</v>
      </c>
      <c r="G8" s="10" t="s">
        <v>39</v>
      </c>
      <c r="H8" s="10" t="s">
        <v>38</v>
      </c>
      <c r="I8" s="10" t="s">
        <v>38</v>
      </c>
    </row>
    <row r="9" spans="1:9" ht="12" thickBot="1">
      <c r="A9" s="11" t="s">
        <v>7</v>
      </c>
      <c r="B9" s="11" t="s">
        <v>86</v>
      </c>
      <c r="C9" s="11" t="s">
        <v>79</v>
      </c>
      <c r="D9" s="11" t="s">
        <v>13</v>
      </c>
      <c r="E9" s="11" t="s">
        <v>10</v>
      </c>
      <c r="F9" s="11" t="s">
        <v>11</v>
      </c>
      <c r="G9" s="11" t="s">
        <v>12</v>
      </c>
      <c r="H9" s="11" t="s">
        <v>14</v>
      </c>
      <c r="I9" s="11" t="s">
        <v>15</v>
      </c>
    </row>
    <row r="10" spans="1:11" ht="11.25">
      <c r="A10" s="12">
        <v>1</v>
      </c>
      <c r="B10" s="88">
        <v>20</v>
      </c>
      <c r="C10" s="90">
        <f>0.0015/100*B10</f>
        <v>0.00030000000000000003</v>
      </c>
      <c r="D10" s="38">
        <f>rooF*C10</f>
        <v>0.30000000000000004</v>
      </c>
      <c r="E10" s="58">
        <f>Concentrations!$G$15</f>
        <v>0.02</v>
      </c>
      <c r="F10" s="58">
        <f>Concentrations!G21</f>
        <v>0.01</v>
      </c>
      <c r="G10" s="58">
        <f>Concentrations!G34</f>
        <v>0.05</v>
      </c>
      <c r="H10" s="38">
        <f>D10*(E10-G10)/(F10-G10)</f>
        <v>0.22500000000000006</v>
      </c>
      <c r="I10" s="38">
        <f>D10-H10</f>
        <v>0.07499999999999998</v>
      </c>
      <c r="K10" s="4" t="s">
        <v>1</v>
      </c>
    </row>
    <row r="11" spans="1:9" ht="11.25">
      <c r="A11" s="12">
        <f aca="true" t="shared" si="0" ref="A11:A17">A10+1</f>
        <v>2</v>
      </c>
      <c r="B11" s="88">
        <v>30</v>
      </c>
      <c r="C11" s="90">
        <f aca="true" t="shared" si="1" ref="C11:C17">0.0015/100*B11</f>
        <v>0.00045</v>
      </c>
      <c r="D11" s="38">
        <f aca="true" t="shared" si="2" ref="D11:D17">rooF*C11</f>
        <v>0.45</v>
      </c>
      <c r="E11" s="58">
        <f>Concentrations!$G$15</f>
        <v>0.02</v>
      </c>
      <c r="F11" s="58">
        <f>Concentrations!G22</f>
        <v>0.010999999999999944</v>
      </c>
      <c r="G11" s="58">
        <f>Concentrations!G35</f>
        <v>0.06</v>
      </c>
      <c r="H11" s="38">
        <f aca="true" t="shared" si="3" ref="H11:H17">D11*(E11-G11)/(F11-G11)</f>
        <v>0.3673469387755097</v>
      </c>
      <c r="I11" s="38">
        <f aca="true" t="shared" si="4" ref="I11:I17">D11-H11</f>
        <v>0.08265306122449029</v>
      </c>
    </row>
    <row r="12" spans="1:9" ht="11.25">
      <c r="A12" s="12">
        <f t="shared" si="0"/>
        <v>3</v>
      </c>
      <c r="B12" s="88">
        <v>40</v>
      </c>
      <c r="C12" s="90">
        <f t="shared" si="1"/>
        <v>0.0006000000000000001</v>
      </c>
      <c r="D12" s="38">
        <f t="shared" si="2"/>
        <v>0.6000000000000001</v>
      </c>
      <c r="E12" s="58">
        <f>Concentrations!$G$15</f>
        <v>0.02</v>
      </c>
      <c r="F12" s="58">
        <f>Concentrations!G23</f>
        <v>0.011999999999999886</v>
      </c>
      <c r="G12" s="58">
        <f>Concentrations!G36</f>
        <v>0.07</v>
      </c>
      <c r="H12" s="38">
        <f t="shared" si="3"/>
        <v>0.5172413793103439</v>
      </c>
      <c r="I12" s="38">
        <f t="shared" si="4"/>
        <v>0.08275862068965623</v>
      </c>
    </row>
    <row r="13" spans="1:9" ht="11.25">
      <c r="A13" s="12">
        <f t="shared" si="0"/>
        <v>4</v>
      </c>
      <c r="B13" s="88">
        <v>50</v>
      </c>
      <c r="C13" s="90">
        <f t="shared" si="1"/>
        <v>0.00075</v>
      </c>
      <c r="D13" s="38">
        <f t="shared" si="2"/>
        <v>0.75</v>
      </c>
      <c r="E13" s="58">
        <f>Concentrations!$G$15</f>
        <v>0.02</v>
      </c>
      <c r="F13" s="58">
        <f>Concentrations!G24</f>
        <v>0.01299999999999983</v>
      </c>
      <c r="G13" s="58">
        <f>Concentrations!G37</f>
        <v>0.08</v>
      </c>
      <c r="H13" s="38">
        <f t="shared" si="3"/>
        <v>0.6716417910447744</v>
      </c>
      <c r="I13" s="38">
        <f t="shared" si="4"/>
        <v>0.0783582089552256</v>
      </c>
    </row>
    <row r="14" spans="1:9" ht="11.25">
      <c r="A14" s="12">
        <f t="shared" si="0"/>
        <v>5</v>
      </c>
      <c r="B14" s="88">
        <v>60</v>
      </c>
      <c r="C14" s="90">
        <f t="shared" si="1"/>
        <v>0.0009</v>
      </c>
      <c r="D14" s="38">
        <f t="shared" si="2"/>
        <v>0.9</v>
      </c>
      <c r="E14" s="58">
        <f>Concentrations!$G$15</f>
        <v>0.02</v>
      </c>
      <c r="F14" s="58">
        <f>Concentrations!G25</f>
        <v>0.013999999999999773</v>
      </c>
      <c r="G14" s="58">
        <f>Concentrations!G38</f>
        <v>0.09</v>
      </c>
      <c r="H14" s="38">
        <f t="shared" si="3"/>
        <v>0.8289473684210502</v>
      </c>
      <c r="I14" s="38">
        <f t="shared" si="4"/>
        <v>0.07105263157894981</v>
      </c>
    </row>
    <row r="15" spans="1:9" ht="11.25">
      <c r="A15" s="12">
        <f t="shared" si="0"/>
        <v>6</v>
      </c>
      <c r="B15" s="88">
        <v>70</v>
      </c>
      <c r="C15" s="90">
        <f t="shared" si="1"/>
        <v>0.00105</v>
      </c>
      <c r="D15" s="38">
        <f t="shared" si="2"/>
        <v>1.05</v>
      </c>
      <c r="E15" s="58">
        <f>Concentrations!$G$15</f>
        <v>0.02</v>
      </c>
      <c r="F15" s="58">
        <f>Concentrations!G26</f>
        <v>0.014999999999999715</v>
      </c>
      <c r="G15" s="58">
        <f>Concentrations!G39</f>
        <v>0.1</v>
      </c>
      <c r="H15" s="38">
        <f t="shared" si="3"/>
        <v>0.9882352941176437</v>
      </c>
      <c r="I15" s="38">
        <f t="shared" si="4"/>
        <v>0.061764705882356385</v>
      </c>
    </row>
    <row r="16" spans="1:9" ht="11.25">
      <c r="A16" s="12">
        <f t="shared" si="0"/>
        <v>7</v>
      </c>
      <c r="B16" s="88">
        <v>80</v>
      </c>
      <c r="C16" s="90">
        <f t="shared" si="1"/>
        <v>0.0012000000000000001</v>
      </c>
      <c r="D16" s="38">
        <f t="shared" si="2"/>
        <v>1.2000000000000002</v>
      </c>
      <c r="E16" s="58">
        <f>Concentrations!$G$15</f>
        <v>0.02</v>
      </c>
      <c r="F16" s="58">
        <f>Concentrations!G27</f>
        <v>0.01599999999999966</v>
      </c>
      <c r="G16" s="58">
        <f>Concentrations!G40</f>
        <v>0.11</v>
      </c>
      <c r="H16" s="38">
        <f t="shared" si="3"/>
        <v>1.148936170212762</v>
      </c>
      <c r="I16" s="38">
        <f t="shared" si="4"/>
        <v>0.05106382978723811</v>
      </c>
    </row>
    <row r="17" spans="1:9" ht="11.25">
      <c r="A17" s="12">
        <f t="shared" si="0"/>
        <v>8</v>
      </c>
      <c r="B17" s="88">
        <v>90</v>
      </c>
      <c r="C17" s="90">
        <f t="shared" si="1"/>
        <v>0.00135</v>
      </c>
      <c r="D17" s="38">
        <f t="shared" si="2"/>
        <v>1.35</v>
      </c>
      <c r="E17" s="58">
        <f>Concentrations!$G$15</f>
        <v>0.02</v>
      </c>
      <c r="F17" s="58">
        <f>Concentrations!G28</f>
        <v>0.016999999999999602</v>
      </c>
      <c r="G17" s="58">
        <f>Concentrations!G41</f>
        <v>0.12</v>
      </c>
      <c r="H17" s="38">
        <f t="shared" si="3"/>
        <v>1.3106796116504804</v>
      </c>
      <c r="I17" s="38">
        <f t="shared" si="4"/>
        <v>0.039320388349519675</v>
      </c>
    </row>
    <row r="18" spans="1:8" ht="11.25">
      <c r="A18" s="12"/>
      <c r="B18" s="12"/>
      <c r="D18" s="58"/>
      <c r="E18" s="58"/>
      <c r="F18" s="58"/>
      <c r="G18" s="38"/>
      <c r="H18" s="38"/>
    </row>
    <row r="19" spans="1:7" ht="11.25">
      <c r="A19" s="12"/>
      <c r="C19" s="58"/>
      <c r="D19" s="58"/>
      <c r="E19" s="58"/>
      <c r="F19" s="38"/>
      <c r="G19" s="38"/>
    </row>
    <row r="21" spans="1:2" ht="11.25">
      <c r="A21" s="3" t="s">
        <v>127</v>
      </c>
      <c r="B21" s="1"/>
    </row>
    <row r="22" spans="1:10" ht="11.25">
      <c r="A22" s="26"/>
      <c r="B22" s="12" t="s">
        <v>87</v>
      </c>
      <c r="C22" s="12" t="s">
        <v>88</v>
      </c>
      <c r="D22" s="12" t="s">
        <v>89</v>
      </c>
      <c r="E22" s="12" t="s">
        <v>90</v>
      </c>
      <c r="F22" s="12" t="s">
        <v>91</v>
      </c>
      <c r="G22" s="12" t="s">
        <v>92</v>
      </c>
      <c r="H22" s="12" t="s">
        <v>93</v>
      </c>
      <c r="I22" s="12" t="s">
        <v>94</v>
      </c>
      <c r="J22" s="19"/>
    </row>
    <row r="23" spans="1:10" ht="12" thickBot="1">
      <c r="A23" s="11" t="s">
        <v>7</v>
      </c>
      <c r="B23" s="11" t="s">
        <v>11</v>
      </c>
      <c r="C23" s="11" t="s">
        <v>12</v>
      </c>
      <c r="D23" s="11" t="s">
        <v>27</v>
      </c>
      <c r="E23" s="11" t="s">
        <v>28</v>
      </c>
      <c r="F23" s="11" t="s">
        <v>29</v>
      </c>
      <c r="G23" s="11" t="s">
        <v>30</v>
      </c>
      <c r="H23" s="11" t="s">
        <v>31</v>
      </c>
      <c r="I23" s="11" t="s">
        <v>32</v>
      </c>
      <c r="J23" s="19"/>
    </row>
    <row r="24" spans="1:10" ht="11.25">
      <c r="A24" s="12">
        <v>1</v>
      </c>
      <c r="B24" s="29">
        <f aca="true" t="shared" si="5" ref="B24:C31">F10</f>
        <v>0.01</v>
      </c>
      <c r="C24" s="29">
        <f t="shared" si="5"/>
        <v>0.05</v>
      </c>
      <c r="D24" s="21">
        <f>H10/D10</f>
        <v>0.7500000000000001</v>
      </c>
      <c r="E24" s="21">
        <f>H10*F10/(D10*E10)</f>
        <v>0.37500000000000006</v>
      </c>
      <c r="F24" s="21">
        <f>I10/D10</f>
        <v>0.24999999999999992</v>
      </c>
      <c r="G24" s="21">
        <f>I10*G10/(D10*E10)</f>
        <v>0.6249999999999998</v>
      </c>
      <c r="H24" s="21">
        <f aca="true" t="shared" si="6" ref="H24:H31">H10/I10</f>
        <v>3.0000000000000013</v>
      </c>
      <c r="I24" s="21">
        <f aca="true" t="shared" si="7" ref="I24:I31">H10*F10/(I10*G10)</f>
        <v>0.6000000000000003</v>
      </c>
      <c r="J24" s="19"/>
    </row>
    <row r="25" spans="1:10" ht="11.25">
      <c r="A25" s="12">
        <f aca="true" t="shared" si="8" ref="A25:A31">A24+1</f>
        <v>2</v>
      </c>
      <c r="B25" s="29">
        <f t="shared" si="5"/>
        <v>0.010999999999999944</v>
      </c>
      <c r="C25" s="29">
        <f t="shared" si="5"/>
        <v>0.06</v>
      </c>
      <c r="D25" s="21">
        <f aca="true" t="shared" si="9" ref="D25:D31">H11/D11</f>
        <v>0.8163265306122438</v>
      </c>
      <c r="E25" s="21">
        <f aca="true" t="shared" si="10" ref="E25:E31">H11*F11/(D11*E11)</f>
        <v>0.44897959183673175</v>
      </c>
      <c r="F25" s="21">
        <f aca="true" t="shared" si="11" ref="F25:F31">I11/D11</f>
        <v>0.1836734693877562</v>
      </c>
      <c r="G25" s="21">
        <f aca="true" t="shared" si="12" ref="G25:G31">I11*G11/(D11*E11)</f>
        <v>0.5510204081632685</v>
      </c>
      <c r="H25" s="21">
        <f t="shared" si="6"/>
        <v>4.444444444444412</v>
      </c>
      <c r="I25" s="21">
        <f t="shared" si="7"/>
        <v>0.8148148148148048</v>
      </c>
      <c r="J25" s="19"/>
    </row>
    <row r="26" spans="1:10" ht="11.25">
      <c r="A26" s="12">
        <f t="shared" si="8"/>
        <v>3</v>
      </c>
      <c r="B26" s="29">
        <f t="shared" si="5"/>
        <v>0.011999999999999886</v>
      </c>
      <c r="C26" s="29">
        <f t="shared" si="5"/>
        <v>0.07</v>
      </c>
      <c r="D26" s="21">
        <f t="shared" si="9"/>
        <v>0.8620689655172397</v>
      </c>
      <c r="E26" s="21">
        <f t="shared" si="10"/>
        <v>0.5172413793103389</v>
      </c>
      <c r="F26" s="21">
        <f t="shared" si="11"/>
        <v>0.13793103448276037</v>
      </c>
      <c r="G26" s="21">
        <f t="shared" si="12"/>
        <v>0.4827586206896613</v>
      </c>
      <c r="H26" s="21">
        <f t="shared" si="6"/>
        <v>6.2499999999999085</v>
      </c>
      <c r="I26" s="21">
        <f t="shared" si="7"/>
        <v>1.0714285714285454</v>
      </c>
      <c r="J26" s="19"/>
    </row>
    <row r="27" spans="1:10" ht="11.25">
      <c r="A27" s="12">
        <f t="shared" si="8"/>
        <v>4</v>
      </c>
      <c r="B27" s="29">
        <f t="shared" si="5"/>
        <v>0.01299999999999983</v>
      </c>
      <c r="C27" s="29">
        <f t="shared" si="5"/>
        <v>0.08</v>
      </c>
      <c r="D27" s="21">
        <f t="shared" si="9"/>
        <v>0.8955223880596992</v>
      </c>
      <c r="E27" s="21">
        <f t="shared" si="10"/>
        <v>0.5820895522387969</v>
      </c>
      <c r="F27" s="21">
        <f t="shared" si="11"/>
        <v>0.10447761194030081</v>
      </c>
      <c r="G27" s="21">
        <f t="shared" si="12"/>
        <v>0.41791044776120323</v>
      </c>
      <c r="H27" s="21">
        <f t="shared" si="6"/>
        <v>8.571428571428362</v>
      </c>
      <c r="I27" s="21">
        <f t="shared" si="7"/>
        <v>1.3928571428570904</v>
      </c>
      <c r="J27" s="19"/>
    </row>
    <row r="28" spans="1:10" ht="11.25">
      <c r="A28" s="12">
        <f t="shared" si="8"/>
        <v>5</v>
      </c>
      <c r="B28" s="29">
        <f t="shared" si="5"/>
        <v>0.013999999999999773</v>
      </c>
      <c r="C28" s="29">
        <f t="shared" si="5"/>
        <v>0.09</v>
      </c>
      <c r="D28" s="21">
        <f t="shared" si="9"/>
        <v>0.9210526315789447</v>
      </c>
      <c r="E28" s="21">
        <f t="shared" si="10"/>
        <v>0.6447368421052507</v>
      </c>
      <c r="F28" s="21">
        <f t="shared" si="11"/>
        <v>0.07894736842105535</v>
      </c>
      <c r="G28" s="21">
        <f t="shared" si="12"/>
        <v>0.355263157894749</v>
      </c>
      <c r="H28" s="21">
        <f t="shared" si="6"/>
        <v>11.666666666666233</v>
      </c>
      <c r="I28" s="21">
        <f t="shared" si="7"/>
        <v>1.8148148148147178</v>
      </c>
      <c r="J28" s="19"/>
    </row>
    <row r="29" spans="1:10" ht="11.25">
      <c r="A29" s="12">
        <f t="shared" si="8"/>
        <v>6</v>
      </c>
      <c r="B29" s="29">
        <f t="shared" si="5"/>
        <v>0.014999999999999715</v>
      </c>
      <c r="C29" s="29">
        <f t="shared" si="5"/>
        <v>0.1</v>
      </c>
      <c r="D29" s="21">
        <f t="shared" si="9"/>
        <v>0.9411764705882321</v>
      </c>
      <c r="E29" s="21">
        <f t="shared" si="10"/>
        <v>0.7058823529411605</v>
      </c>
      <c r="F29" s="21">
        <f t="shared" si="11"/>
        <v>0.05882352941176798</v>
      </c>
      <c r="G29" s="21">
        <f t="shared" si="12"/>
        <v>0.2941176470588399</v>
      </c>
      <c r="H29" s="21">
        <f t="shared" si="6"/>
        <v>15.999999999999053</v>
      </c>
      <c r="I29" s="21">
        <f t="shared" si="7"/>
        <v>2.399999999999812</v>
      </c>
      <c r="J29" s="19"/>
    </row>
    <row r="30" spans="1:10" ht="11.25">
      <c r="A30" s="12">
        <f t="shared" si="8"/>
        <v>7</v>
      </c>
      <c r="B30" s="29">
        <f t="shared" si="5"/>
        <v>0.01599999999999966</v>
      </c>
      <c r="C30" s="29">
        <f t="shared" si="5"/>
        <v>0.11</v>
      </c>
      <c r="D30" s="21">
        <f t="shared" si="9"/>
        <v>0.9574468085106349</v>
      </c>
      <c r="E30" s="21">
        <f t="shared" si="10"/>
        <v>0.7659574468084916</v>
      </c>
      <c r="F30" s="21">
        <f t="shared" si="11"/>
        <v>0.04255319148936509</v>
      </c>
      <c r="G30" s="21">
        <f t="shared" si="12"/>
        <v>0.234042553191508</v>
      </c>
      <c r="H30" s="21">
        <f t="shared" si="6"/>
        <v>22.49999999999813</v>
      </c>
      <c r="I30" s="21">
        <f t="shared" si="7"/>
        <v>3.272727272726931</v>
      </c>
      <c r="J30" s="19"/>
    </row>
    <row r="31" spans="1:10" ht="11.25">
      <c r="A31" s="12">
        <f t="shared" si="8"/>
        <v>8</v>
      </c>
      <c r="B31" s="29">
        <f t="shared" si="5"/>
        <v>0.016999999999999602</v>
      </c>
      <c r="C31" s="29">
        <f t="shared" si="5"/>
        <v>0.12</v>
      </c>
      <c r="D31" s="21">
        <f t="shared" si="9"/>
        <v>0.9708737864077632</v>
      </c>
      <c r="E31" s="21">
        <f t="shared" si="10"/>
        <v>0.8252427184465794</v>
      </c>
      <c r="F31" s="21">
        <f t="shared" si="11"/>
        <v>0.029126213592236796</v>
      </c>
      <c r="G31" s="21">
        <f t="shared" si="12"/>
        <v>0.17475728155342074</v>
      </c>
      <c r="H31" s="21">
        <f t="shared" si="6"/>
        <v>33.33333333332887</v>
      </c>
      <c r="I31" s="21">
        <f t="shared" si="7"/>
        <v>4.72222222222148</v>
      </c>
      <c r="J31" s="19"/>
    </row>
    <row r="35" ht="11.25">
      <c r="A35" s="3" t="s">
        <v>128</v>
      </c>
    </row>
    <row r="36" spans="1:8" ht="11.25">
      <c r="A36" s="3"/>
      <c r="B36" s="10" t="s">
        <v>40</v>
      </c>
      <c r="C36" s="10" t="s">
        <v>38</v>
      </c>
      <c r="D36" s="10" t="s">
        <v>41</v>
      </c>
      <c r="E36" s="10" t="s">
        <v>41</v>
      </c>
      <c r="F36" s="10"/>
      <c r="G36" s="1"/>
      <c r="H36" s="1"/>
    </row>
    <row r="37" spans="1:11" ht="12" thickBot="1">
      <c r="A37" s="11" t="s">
        <v>7</v>
      </c>
      <c r="B37" s="11" t="s">
        <v>79</v>
      </c>
      <c r="C37" s="11" t="s">
        <v>13</v>
      </c>
      <c r="D37" s="11" t="s">
        <v>26</v>
      </c>
      <c r="E37" s="11" t="s">
        <v>81</v>
      </c>
      <c r="F37" s="10"/>
      <c r="G37" s="1"/>
      <c r="H37" s="1"/>
      <c r="K37" s="4" t="s">
        <v>129</v>
      </c>
    </row>
    <row r="38" spans="1:11" ht="11.25">
      <c r="A38" s="12">
        <v>1</v>
      </c>
      <c r="B38" s="90">
        <f>C10</f>
        <v>0.00030000000000000003</v>
      </c>
      <c r="C38" s="38">
        <f>D10</f>
        <v>0.30000000000000004</v>
      </c>
      <c r="D38" s="13">
        <f>B38/'Cut size'!Ai</f>
        <v>3.8197097020626436</v>
      </c>
      <c r="E38" s="59">
        <f>'Energy losses'!C8</f>
        <v>0.14808946815345864</v>
      </c>
      <c r="F38" s="10"/>
      <c r="G38" s="1"/>
      <c r="H38" s="1"/>
      <c r="K38" s="61" t="s">
        <v>130</v>
      </c>
    </row>
    <row r="39" spans="1:8" ht="11.25">
      <c r="A39" s="12">
        <f aca="true" t="shared" si="13" ref="A39:A45">A38+1</f>
        <v>2</v>
      </c>
      <c r="B39" s="90">
        <f aca="true" t="shared" si="14" ref="B39:C45">C11</f>
        <v>0.00045</v>
      </c>
      <c r="C39" s="38">
        <f t="shared" si="14"/>
        <v>0.45</v>
      </c>
      <c r="D39" s="13">
        <f>B39/'Cut size'!Ai</f>
        <v>5.729564553093964</v>
      </c>
      <c r="E39" s="59">
        <f>'Energy losses'!C9</f>
        <v>0.2221342022301879</v>
      </c>
      <c r="F39" s="10"/>
      <c r="G39" s="1"/>
      <c r="H39" s="1"/>
    </row>
    <row r="40" spans="1:8" ht="11.25">
      <c r="A40" s="12">
        <f t="shared" si="13"/>
        <v>3</v>
      </c>
      <c r="B40" s="90">
        <f t="shared" si="14"/>
        <v>0.0006000000000000001</v>
      </c>
      <c r="C40" s="38">
        <f t="shared" si="14"/>
        <v>0.6000000000000001</v>
      </c>
      <c r="D40" s="13">
        <f>B40/'Cut size'!Ai</f>
        <v>7.639419404125287</v>
      </c>
      <c r="E40" s="59">
        <f>'Energy losses'!C10</f>
        <v>0.2961789363069173</v>
      </c>
      <c r="F40" s="10"/>
      <c r="G40" s="1"/>
      <c r="H40" s="1"/>
    </row>
    <row r="41" spans="1:8" ht="11.25">
      <c r="A41" s="12">
        <f t="shared" si="13"/>
        <v>4</v>
      </c>
      <c r="B41" s="90">
        <f t="shared" si="14"/>
        <v>0.00075</v>
      </c>
      <c r="C41" s="38">
        <f t="shared" si="14"/>
        <v>0.75</v>
      </c>
      <c r="D41" s="13">
        <f>B41/'Cut size'!Ai</f>
        <v>9.549274255156607</v>
      </c>
      <c r="E41" s="59">
        <f>'Energy losses'!C11</f>
        <v>0.3702236703836465</v>
      </c>
      <c r="F41" s="10"/>
      <c r="G41" s="1"/>
      <c r="H41" s="1"/>
    </row>
    <row r="42" spans="1:8" ht="11.25">
      <c r="A42" s="12">
        <f t="shared" si="13"/>
        <v>5</v>
      </c>
      <c r="B42" s="90">
        <f t="shared" si="14"/>
        <v>0.0009</v>
      </c>
      <c r="C42" s="38">
        <f t="shared" si="14"/>
        <v>0.9</v>
      </c>
      <c r="D42" s="13">
        <f>B42/'Cut size'!Ai</f>
        <v>11.459129106187929</v>
      </c>
      <c r="E42" s="59">
        <f>'Energy losses'!C12</f>
        <v>0.4442684044603758</v>
      </c>
      <c r="F42" s="10"/>
      <c r="G42" s="1"/>
      <c r="H42" s="1"/>
    </row>
    <row r="43" spans="1:8" ht="11.25">
      <c r="A43" s="12">
        <f t="shared" si="13"/>
        <v>6</v>
      </c>
      <c r="B43" s="90">
        <f t="shared" si="14"/>
        <v>0.00105</v>
      </c>
      <c r="C43" s="38">
        <f t="shared" si="14"/>
        <v>1.05</v>
      </c>
      <c r="D43" s="13">
        <f>B43/'Cut size'!Ai</f>
        <v>13.36898395721925</v>
      </c>
      <c r="E43" s="59">
        <f>'Energy losses'!C13</f>
        <v>0.5183131385371051</v>
      </c>
      <c r="F43" s="58"/>
      <c r="G43" s="38"/>
      <c r="H43" s="38"/>
    </row>
    <row r="44" spans="1:8" ht="11.25">
      <c r="A44" s="12">
        <f t="shared" si="13"/>
        <v>7</v>
      </c>
      <c r="B44" s="90">
        <f t="shared" si="14"/>
        <v>0.0012000000000000001</v>
      </c>
      <c r="C44" s="38">
        <f t="shared" si="14"/>
        <v>1.2000000000000002</v>
      </c>
      <c r="D44" s="13">
        <f>B44/'Cut size'!Ai</f>
        <v>15.278838808250574</v>
      </c>
      <c r="E44" s="59">
        <f>'Energy losses'!C14</f>
        <v>0.5923578726138345</v>
      </c>
      <c r="F44" s="58"/>
      <c r="G44" s="38"/>
      <c r="H44" s="38"/>
    </row>
    <row r="45" spans="1:8" ht="11.25">
      <c r="A45" s="12">
        <f t="shared" si="13"/>
        <v>8</v>
      </c>
      <c r="B45" s="90">
        <f t="shared" si="14"/>
        <v>0.00135</v>
      </c>
      <c r="C45" s="38">
        <f t="shared" si="14"/>
        <v>1.35</v>
      </c>
      <c r="D45" s="13">
        <f>B45/'Cut size'!Ai</f>
        <v>17.188693659281896</v>
      </c>
      <c r="E45" s="59">
        <f>'Energy losses'!C15</f>
        <v>0.6664026066905637</v>
      </c>
      <c r="F45" s="58"/>
      <c r="G45" s="38"/>
      <c r="H45" s="38"/>
    </row>
  </sheetData>
  <sheetProtection sheet="1" objects="1" scenarios="1"/>
  <printOptions gridLines="1"/>
  <pageMargins left="0.984251968503937" right="0.5905511811023623" top="0.5905511811023623" bottom="0.7874015748031497" header="0" footer="0.5905511811023623"/>
  <pageSetup horizontalDpi="300" verticalDpi="300" orientation="portrait" paperSize="9" r:id="rId1"/>
  <headerFooter alignWithMargins="0">
    <oddFooter>&amp;CFile: &amp;F     Sheet: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75"/>
  <sheetViews>
    <sheetView workbookViewId="0" topLeftCell="A1">
      <selection activeCell="I17" sqref="I17"/>
    </sheetView>
  </sheetViews>
  <sheetFormatPr defaultColWidth="9.140625" defaultRowHeight="12.75"/>
  <cols>
    <col min="1" max="1" width="3.7109375" style="4" customWidth="1"/>
    <col min="2" max="7" width="9.140625" style="4" customWidth="1"/>
    <col min="8" max="8" width="10.00390625" style="4" bestFit="1" customWidth="1"/>
    <col min="9" max="16384" width="9.140625" style="4" customWidth="1"/>
  </cols>
  <sheetData>
    <row r="1" ht="11.25">
      <c r="A1" s="3" t="s">
        <v>98</v>
      </c>
    </row>
    <row r="2" spans="1:4" ht="11.25">
      <c r="A2" s="3"/>
      <c r="C2" s="5" t="s">
        <v>23</v>
      </c>
      <c r="D2" s="6">
        <v>0.12</v>
      </c>
    </row>
    <row r="3" spans="1:11" ht="11.25">
      <c r="A3" s="3"/>
      <c r="C3" s="5" t="s">
        <v>18</v>
      </c>
      <c r="D3" s="6">
        <v>0.025</v>
      </c>
      <c r="E3" s="5" t="s">
        <v>16</v>
      </c>
      <c r="F3" s="6">
        <v>0.01</v>
      </c>
      <c r="G3" s="5" t="s">
        <v>17</v>
      </c>
      <c r="H3" s="7">
        <v>0.009</v>
      </c>
      <c r="I3" s="5" t="s">
        <v>2</v>
      </c>
      <c r="J3" s="8">
        <v>3000</v>
      </c>
      <c r="K3" s="4" t="s">
        <v>131</v>
      </c>
    </row>
    <row r="4" spans="3:11" ht="11.25">
      <c r="C4" s="5" t="s">
        <v>21</v>
      </c>
      <c r="D4" s="9">
        <f>3.1416*(D/2)^2</f>
        <v>0.0004908750000000001</v>
      </c>
      <c r="E4" s="5" t="s">
        <v>19</v>
      </c>
      <c r="F4" s="9">
        <f>3.1416*(Di/2)^2</f>
        <v>7.854E-05</v>
      </c>
      <c r="G4" s="5" t="s">
        <v>20</v>
      </c>
      <c r="H4" s="9">
        <f>3.1416*(Do/2)^2</f>
        <v>6.361739999999998E-05</v>
      </c>
      <c r="I4" s="5" t="s">
        <v>22</v>
      </c>
      <c r="J4" s="8">
        <v>1000</v>
      </c>
      <c r="K4" s="4" t="s">
        <v>132</v>
      </c>
    </row>
    <row r="5" spans="3:10" ht="11.25">
      <c r="C5" s="5"/>
      <c r="D5" s="9"/>
      <c r="E5" s="5"/>
      <c r="F5" s="9"/>
      <c r="G5" s="5"/>
      <c r="H5" s="9"/>
      <c r="I5" s="5"/>
      <c r="J5" s="8"/>
    </row>
    <row r="7" spans="1:11" ht="11.25">
      <c r="A7" s="3" t="s">
        <v>133</v>
      </c>
      <c r="I7" s="3" t="s">
        <v>134</v>
      </c>
      <c r="K7" s="4" t="s">
        <v>135</v>
      </c>
    </row>
    <row r="8" spans="1:11" ht="11.25">
      <c r="A8" s="3"/>
      <c r="B8" s="10" t="s">
        <v>40</v>
      </c>
      <c r="C8" s="10" t="s">
        <v>41</v>
      </c>
      <c r="D8" s="10" t="s">
        <v>97</v>
      </c>
      <c r="E8" s="10"/>
      <c r="I8" s="10" t="s">
        <v>42</v>
      </c>
      <c r="J8" s="10" t="s">
        <v>43</v>
      </c>
      <c r="K8" s="4" t="s">
        <v>136</v>
      </c>
    </row>
    <row r="9" spans="1:11" ht="12" thickBot="1">
      <c r="A9" s="11" t="s">
        <v>7</v>
      </c>
      <c r="B9" s="11" t="s">
        <v>79</v>
      </c>
      <c r="C9" s="11" t="s">
        <v>26</v>
      </c>
      <c r="D9" s="11" t="s">
        <v>33</v>
      </c>
      <c r="E9" s="10"/>
      <c r="I9" s="11" t="s">
        <v>96</v>
      </c>
      <c r="J9" s="11" t="s">
        <v>25</v>
      </c>
      <c r="K9" s="4" t="s">
        <v>137</v>
      </c>
    </row>
    <row r="10" spans="1:10" ht="11.25">
      <c r="A10" s="12">
        <v>1</v>
      </c>
      <c r="B10" s="16">
        <f>'Balance and Eff.'!C10</f>
        <v>0.00030000000000000003</v>
      </c>
      <c r="C10" s="13">
        <f>B10/Ai</f>
        <v>3.8197097020626436</v>
      </c>
      <c r="D10" s="14">
        <f>C10^2/(D/2)</f>
        <v>1167.214576642519</v>
      </c>
      <c r="E10" s="10"/>
      <c r="I10" s="15">
        <v>10</v>
      </c>
      <c r="J10" s="16">
        <f>eta(I10)</f>
        <v>0.0013265524</v>
      </c>
    </row>
    <row r="11" spans="1:11" ht="11.25">
      <c r="A11" s="12">
        <f aca="true" t="shared" si="0" ref="A11:A17">A10+1</f>
        <v>2</v>
      </c>
      <c r="B11" s="16">
        <f>'Balance and Eff.'!C11</f>
        <v>0.00045</v>
      </c>
      <c r="C11" s="13">
        <f aca="true" t="shared" si="1" ref="C11:C17">B11/Ai</f>
        <v>5.729564553093964</v>
      </c>
      <c r="D11" s="14">
        <f aca="true" t="shared" si="2" ref="D11:D17">C11^2/(D/2)</f>
        <v>2626.232797445667</v>
      </c>
      <c r="E11" s="10"/>
      <c r="I11" s="15">
        <f>I10+2</f>
        <v>12</v>
      </c>
      <c r="J11" s="16">
        <f aca="true" t="shared" si="3" ref="J11:J17">eta(I11)</f>
        <v>0.0012536401759999998</v>
      </c>
      <c r="K11" s="4" t="s">
        <v>138</v>
      </c>
    </row>
    <row r="12" spans="1:11" ht="11.25">
      <c r="A12" s="12">
        <f t="shared" si="0"/>
        <v>3</v>
      </c>
      <c r="B12" s="16">
        <f>'Balance and Eff.'!C12</f>
        <v>0.0006000000000000001</v>
      </c>
      <c r="C12" s="13">
        <f t="shared" si="1"/>
        <v>7.639419404125287</v>
      </c>
      <c r="D12" s="14">
        <f t="shared" si="2"/>
        <v>4668.858306570076</v>
      </c>
      <c r="E12" s="10"/>
      <c r="I12" s="15">
        <f aca="true" t="shared" si="4" ref="I12:I17">I11+2</f>
        <v>14</v>
      </c>
      <c r="J12" s="16">
        <f t="shared" si="3"/>
        <v>0.001185695504</v>
      </c>
      <c r="K12" s="4" t="s">
        <v>139</v>
      </c>
    </row>
    <row r="13" spans="1:10" ht="11.25">
      <c r="A13" s="12">
        <f t="shared" si="0"/>
        <v>4</v>
      </c>
      <c r="B13" s="16">
        <f>'Balance and Eff.'!C13</f>
        <v>0.00075</v>
      </c>
      <c r="C13" s="13">
        <f t="shared" si="1"/>
        <v>9.549274255156607</v>
      </c>
      <c r="D13" s="14">
        <f t="shared" si="2"/>
        <v>7295.0911040157425</v>
      </c>
      <c r="E13" s="10"/>
      <c r="I13" s="15">
        <f t="shared" si="4"/>
        <v>16</v>
      </c>
      <c r="J13" s="16">
        <f t="shared" si="3"/>
        <v>0.001122488464</v>
      </c>
    </row>
    <row r="14" spans="1:10" ht="11.25">
      <c r="A14" s="12">
        <f t="shared" si="0"/>
        <v>5</v>
      </c>
      <c r="B14" s="16">
        <f>'Balance and Eff.'!C14</f>
        <v>0.0009</v>
      </c>
      <c r="C14" s="13">
        <f t="shared" si="1"/>
        <v>11.459129106187929</v>
      </c>
      <c r="D14" s="14">
        <f t="shared" si="2"/>
        <v>10504.931189782668</v>
      </c>
      <c r="E14" s="17"/>
      <c r="I14" s="15">
        <f t="shared" si="4"/>
        <v>18</v>
      </c>
      <c r="J14" s="16">
        <f t="shared" si="3"/>
        <v>0.0010637891359999998</v>
      </c>
    </row>
    <row r="15" spans="1:10" ht="11.25">
      <c r="A15" s="12">
        <f t="shared" si="0"/>
        <v>6</v>
      </c>
      <c r="B15" s="16">
        <f>'Balance and Eff.'!C15</f>
        <v>0.00105</v>
      </c>
      <c r="C15" s="13">
        <f t="shared" si="1"/>
        <v>13.36898395721925</v>
      </c>
      <c r="D15" s="14">
        <f t="shared" si="2"/>
        <v>14298.378563870852</v>
      </c>
      <c r="E15" s="17"/>
      <c r="I15" s="15">
        <f t="shared" si="4"/>
        <v>20</v>
      </c>
      <c r="J15" s="16">
        <f t="shared" si="3"/>
        <v>0.0010093675999999997</v>
      </c>
    </row>
    <row r="16" spans="1:10" ht="11.25">
      <c r="A16" s="12">
        <f t="shared" si="0"/>
        <v>7</v>
      </c>
      <c r="B16" s="16">
        <f>'Balance and Eff.'!C16</f>
        <v>0.0012000000000000001</v>
      </c>
      <c r="C16" s="13">
        <f t="shared" si="1"/>
        <v>15.278838808250574</v>
      </c>
      <c r="D16" s="14">
        <f t="shared" si="2"/>
        <v>18675.433226280304</v>
      </c>
      <c r="E16" s="17"/>
      <c r="I16" s="15">
        <f t="shared" si="4"/>
        <v>22</v>
      </c>
      <c r="J16" s="16">
        <f t="shared" si="3"/>
        <v>0.0009589939359999999</v>
      </c>
    </row>
    <row r="17" spans="1:10" ht="11.25">
      <c r="A17" s="12">
        <f t="shared" si="0"/>
        <v>8</v>
      </c>
      <c r="B17" s="16">
        <f>'Balance and Eff.'!C17</f>
        <v>0.00135</v>
      </c>
      <c r="C17" s="13">
        <f t="shared" si="1"/>
        <v>17.188693659281896</v>
      </c>
      <c r="D17" s="14">
        <f t="shared" si="2"/>
        <v>23636.09517701101</v>
      </c>
      <c r="E17" s="17"/>
      <c r="I17" s="15">
        <f t="shared" si="4"/>
        <v>24</v>
      </c>
      <c r="J17" s="16">
        <f t="shared" si="3"/>
        <v>0.000912438224</v>
      </c>
    </row>
    <row r="18" spans="1:10" ht="11.25">
      <c r="A18" s="12"/>
      <c r="C18" s="13"/>
      <c r="D18" s="14"/>
      <c r="E18" s="17"/>
      <c r="I18" s="18"/>
      <c r="J18" s="16"/>
    </row>
    <row r="19" spans="1:10" s="92" customFormat="1" ht="11.25">
      <c r="A19" s="91"/>
      <c r="C19" s="93"/>
      <c r="D19" s="94"/>
      <c r="E19" s="95"/>
      <c r="J19" s="96"/>
    </row>
    <row r="20" spans="1:10" s="18" customFormat="1" ht="11.25">
      <c r="A20" s="55"/>
      <c r="C20" s="108"/>
      <c r="D20" s="109"/>
      <c r="E20" s="107"/>
      <c r="J20" s="90"/>
    </row>
    <row r="21" spans="1:8" ht="11.25">
      <c r="A21" s="20" t="s">
        <v>140</v>
      </c>
      <c r="B21" s="13"/>
      <c r="C21" s="17"/>
      <c r="D21" s="21"/>
      <c r="G21" s="22">
        <v>9</v>
      </c>
      <c r="H21" s="3" t="s">
        <v>47</v>
      </c>
    </row>
    <row r="22" spans="1:10" ht="11.25">
      <c r="A22" s="20"/>
      <c r="B22" s="10" t="s">
        <v>97</v>
      </c>
      <c r="C22" s="23" t="s">
        <v>41</v>
      </c>
      <c r="D22" s="10" t="s">
        <v>44</v>
      </c>
      <c r="E22" s="10" t="s">
        <v>41</v>
      </c>
      <c r="F22" s="31" t="s">
        <v>44</v>
      </c>
      <c r="G22" s="24"/>
      <c r="H22" s="24"/>
      <c r="I22" s="25"/>
      <c r="J22" s="26"/>
    </row>
    <row r="23" spans="1:11" ht="12" thickBot="1">
      <c r="A23" s="11" t="s">
        <v>7</v>
      </c>
      <c r="B23" s="11" t="s">
        <v>33</v>
      </c>
      <c r="C23" s="11" t="s">
        <v>36</v>
      </c>
      <c r="D23" s="27" t="s">
        <v>46</v>
      </c>
      <c r="E23" s="11" t="s">
        <v>34</v>
      </c>
      <c r="F23" s="11" t="s">
        <v>35</v>
      </c>
      <c r="G23" s="28"/>
      <c r="H23" s="28"/>
      <c r="I23" s="25"/>
      <c r="J23" s="11" t="s">
        <v>37</v>
      </c>
      <c r="K23" s="4" t="s">
        <v>141</v>
      </c>
    </row>
    <row r="24" spans="1:10" ht="11.25">
      <c r="A24" s="12">
        <v>1</v>
      </c>
      <c r="B24" s="17">
        <f aca="true" t="shared" si="5" ref="B24:B31">D10</f>
        <v>1167.214576642519</v>
      </c>
      <c r="C24" s="29">
        <f aca="true" t="shared" si="6" ref="C24:C31">(roos-rool)*(koko1*10^-6)^2/18/eta(I10)*B24</f>
        <v>0.00791897190776834</v>
      </c>
      <c r="D24" s="30">
        <f aca="true" t="shared" si="7" ref="D24:D31">0.5*(D-Do)/C24</f>
        <v>1.0102321479575112</v>
      </c>
      <c r="E24" s="21">
        <f aca="true" t="shared" si="8" ref="E24:E31">B10/(A-Ao)</f>
        <v>0.7021525187615152</v>
      </c>
      <c r="F24" s="29">
        <f aca="true" t="shared" si="9" ref="F24:F31">L/E24</f>
        <v>0.17090304000000003</v>
      </c>
      <c r="G24" s="19" t="str">
        <f>IF(D24&lt;F24,"  Ehtii vajota","  Ei ehdi vajota")</f>
        <v>  Ei ehdi vajota</v>
      </c>
      <c r="H24" s="30"/>
      <c r="I24" s="25"/>
      <c r="J24" s="29">
        <f aca="true" t="shared" si="10" ref="J24:J31">C24*rool*(koko1*10^-6)/eta(I10)</f>
        <v>0.05372629620203096</v>
      </c>
    </row>
    <row r="25" spans="1:10" ht="11.25">
      <c r="A25" s="12">
        <f aca="true" t="shared" si="11" ref="A25:A31">A24+1</f>
        <v>2</v>
      </c>
      <c r="B25" s="17">
        <f t="shared" si="5"/>
        <v>2626.232797445667</v>
      </c>
      <c r="C25" s="29">
        <f t="shared" si="6"/>
        <v>0.0188539707242208</v>
      </c>
      <c r="D25" s="21">
        <f t="shared" si="7"/>
        <v>0.4243138019580555</v>
      </c>
      <c r="E25" s="21">
        <f t="shared" si="8"/>
        <v>1.0532287781422727</v>
      </c>
      <c r="F25" s="29">
        <f t="shared" si="9"/>
        <v>0.11393536000000003</v>
      </c>
      <c r="G25" s="19" t="str">
        <f aca="true" t="shared" si="12" ref="G25:G31">IF(D25&lt;F25,"  Ehtii vajota","  Ei ehdi vajota")</f>
        <v>  Ei ehdi vajota</v>
      </c>
      <c r="H25" s="30"/>
      <c r="I25" s="30"/>
      <c r="J25" s="29">
        <f t="shared" si="10"/>
        <v>0.13535441809100668</v>
      </c>
    </row>
    <row r="26" spans="1:10" ht="11.25">
      <c r="A26" s="12">
        <f t="shared" si="11"/>
        <v>3</v>
      </c>
      <c r="B26" s="17">
        <f t="shared" si="5"/>
        <v>4668.858306570076</v>
      </c>
      <c r="C26" s="29">
        <f t="shared" si="6"/>
        <v>0.03543888343792749</v>
      </c>
      <c r="D26" s="21">
        <f t="shared" si="7"/>
        <v>0.2257407464321582</v>
      </c>
      <c r="E26" s="21">
        <f t="shared" si="8"/>
        <v>1.4043050375230304</v>
      </c>
      <c r="F26" s="29">
        <f t="shared" si="9"/>
        <v>0.08545152000000002</v>
      </c>
      <c r="G26" s="19" t="str">
        <f t="shared" si="12"/>
        <v>  Ei ehdi vajota</v>
      </c>
      <c r="H26" s="30"/>
      <c r="I26" s="30"/>
      <c r="J26" s="29">
        <f t="shared" si="10"/>
        <v>0.26899819546026327</v>
      </c>
    </row>
    <row r="27" spans="1:10" ht="11.25">
      <c r="A27" s="12">
        <f t="shared" si="11"/>
        <v>4</v>
      </c>
      <c r="B27" s="17">
        <f t="shared" si="5"/>
        <v>7295.0911040157425</v>
      </c>
      <c r="C27" s="29">
        <f t="shared" si="6"/>
        <v>0.05849130930234816</v>
      </c>
      <c r="D27" s="21">
        <f t="shared" si="7"/>
        <v>0.13677245552235975</v>
      </c>
      <c r="E27" s="21">
        <f t="shared" si="8"/>
        <v>1.7553812969037879</v>
      </c>
      <c r="F27" s="29">
        <f t="shared" si="9"/>
        <v>0.06836121600000002</v>
      </c>
      <c r="G27" s="19" t="str">
        <f t="shared" si="12"/>
        <v>  Ei ehdi vajota</v>
      </c>
      <c r="H27" s="30"/>
      <c r="I27" s="30"/>
      <c r="J27" s="29">
        <f t="shared" si="10"/>
        <v>0.4689774555412567</v>
      </c>
    </row>
    <row r="28" spans="1:10" ht="11.25">
      <c r="A28" s="12">
        <f t="shared" si="11"/>
        <v>5</v>
      </c>
      <c r="B28" s="17">
        <f t="shared" si="5"/>
        <v>10504.931189782668</v>
      </c>
      <c r="C28" s="29">
        <f t="shared" si="6"/>
        <v>0.08887511397563666</v>
      </c>
      <c r="D28" s="21">
        <f t="shared" si="7"/>
        <v>0.09001394926135386</v>
      </c>
      <c r="E28" s="21">
        <f t="shared" si="8"/>
        <v>2.1064575562845453</v>
      </c>
      <c r="F28" s="29">
        <f t="shared" si="9"/>
        <v>0.056967680000000014</v>
      </c>
      <c r="G28" s="19" t="str">
        <f t="shared" si="12"/>
        <v>  Ei ehdi vajota</v>
      </c>
      <c r="H28" s="30"/>
      <c r="I28" s="30"/>
      <c r="J28" s="29">
        <f t="shared" si="10"/>
        <v>0.7519121964230421</v>
      </c>
    </row>
    <row r="29" spans="1:10" ht="11.25">
      <c r="A29" s="12">
        <f t="shared" si="11"/>
        <v>6</v>
      </c>
      <c r="B29" s="17">
        <f t="shared" si="5"/>
        <v>14298.378563870852</v>
      </c>
      <c r="C29" s="29">
        <f t="shared" si="6"/>
        <v>0.1274911212474402</v>
      </c>
      <c r="D29" s="21">
        <f t="shared" si="7"/>
        <v>0.06274946774115556</v>
      </c>
      <c r="E29" s="21">
        <f t="shared" si="8"/>
        <v>2.4575338156653026</v>
      </c>
      <c r="F29" s="29">
        <f t="shared" si="9"/>
        <v>0.048829440000000016</v>
      </c>
      <c r="G29" s="19" t="str">
        <f t="shared" si="12"/>
        <v>  Ei ehdi vajota</v>
      </c>
      <c r="H29" s="30"/>
      <c r="I29" s="30"/>
      <c r="J29" s="29">
        <f t="shared" si="10"/>
        <v>1.1367712726532553</v>
      </c>
    </row>
    <row r="30" spans="1:10" ht="11.25">
      <c r="A30" s="12">
        <f t="shared" si="11"/>
        <v>7</v>
      </c>
      <c r="B30" s="17">
        <f t="shared" si="5"/>
        <v>18675.433226280304</v>
      </c>
      <c r="C30" s="29">
        <f t="shared" si="6"/>
        <v>0.17526586219886459</v>
      </c>
      <c r="D30" s="21">
        <f t="shared" si="7"/>
        <v>0.0456449413458671</v>
      </c>
      <c r="E30" s="21">
        <f t="shared" si="8"/>
        <v>2.8086100750460608</v>
      </c>
      <c r="F30" s="29">
        <f t="shared" si="9"/>
        <v>0.04272576000000001</v>
      </c>
      <c r="G30" s="19" t="str">
        <f t="shared" si="12"/>
        <v>  Ei ehdi vajota</v>
      </c>
      <c r="H30" s="30"/>
      <c r="I30" s="30"/>
      <c r="J30" s="29">
        <f t="shared" si="10"/>
        <v>1.6448412243034052</v>
      </c>
    </row>
    <row r="31" spans="1:10" ht="11.25">
      <c r="A31" s="12">
        <f t="shared" si="11"/>
        <v>8</v>
      </c>
      <c r="B31" s="17">
        <f t="shared" si="5"/>
        <v>23636.09517701101</v>
      </c>
      <c r="C31" s="29">
        <f t="shared" si="6"/>
        <v>0.23313891395358632</v>
      </c>
      <c r="D31" s="21">
        <f t="shared" si="7"/>
        <v>0.03431430585454581</v>
      </c>
      <c r="E31" s="21">
        <f t="shared" si="8"/>
        <v>3.1596863344268185</v>
      </c>
      <c r="F31" s="29">
        <f t="shared" si="9"/>
        <v>0.037978453333333335</v>
      </c>
      <c r="G31" s="19" t="str">
        <f t="shared" si="12"/>
        <v>  Ehtii vajota</v>
      </c>
      <c r="H31" s="30"/>
      <c r="I31" s="30"/>
      <c r="J31" s="29">
        <f t="shared" si="10"/>
        <v>2.299607984838519</v>
      </c>
    </row>
    <row r="32" spans="1:11" ht="11.25">
      <c r="A32" s="12"/>
      <c r="B32" s="17"/>
      <c r="C32" s="29"/>
      <c r="D32" s="29"/>
      <c r="E32" s="21"/>
      <c r="F32" s="21"/>
      <c r="G32" s="19"/>
      <c r="H32" s="30"/>
      <c r="I32" s="30"/>
      <c r="J32" s="19"/>
      <c r="K32" s="29"/>
    </row>
    <row r="33" spans="1:9" s="92" customFormat="1" ht="11.25">
      <c r="A33" s="91"/>
      <c r="B33" s="95"/>
      <c r="C33" s="97"/>
      <c r="D33" s="98"/>
      <c r="E33" s="98"/>
      <c r="F33" s="99"/>
      <c r="G33" s="98"/>
      <c r="H33" s="98"/>
      <c r="I33" s="99"/>
    </row>
    <row r="34" spans="6:9" s="18" customFormat="1" ht="11.25">
      <c r="F34" s="34"/>
      <c r="G34" s="30"/>
      <c r="H34" s="30"/>
      <c r="I34" s="34"/>
    </row>
    <row r="35" s="19" customFormat="1" ht="11.25">
      <c r="A35" s="26" t="s">
        <v>142</v>
      </c>
    </row>
    <row r="36" s="19" customFormat="1" ht="11.25"/>
    <row r="37" spans="2:9" s="19" customFormat="1" ht="11.25">
      <c r="B37" s="31" t="s">
        <v>97</v>
      </c>
      <c r="C37" s="31" t="s">
        <v>44</v>
      </c>
      <c r="D37" s="35" t="s">
        <v>95</v>
      </c>
      <c r="E37" s="36"/>
      <c r="F37" s="37"/>
      <c r="G37" s="35" t="s">
        <v>143</v>
      </c>
      <c r="H37" s="36"/>
      <c r="I37" s="37"/>
    </row>
    <row r="38" spans="1:14" s="19" customFormat="1" ht="12" thickBot="1">
      <c r="A38" s="11" t="s">
        <v>7</v>
      </c>
      <c r="B38" s="11" t="s">
        <v>33</v>
      </c>
      <c r="C38" s="11" t="s">
        <v>35</v>
      </c>
      <c r="D38" s="110" t="s">
        <v>59</v>
      </c>
      <c r="E38" s="28" t="s">
        <v>60</v>
      </c>
      <c r="F38" s="111" t="s">
        <v>61</v>
      </c>
      <c r="G38" s="120" t="s">
        <v>48</v>
      </c>
      <c r="H38" s="12" t="s">
        <v>49</v>
      </c>
      <c r="I38" s="121" t="s">
        <v>50</v>
      </c>
      <c r="N38" s="33"/>
    </row>
    <row r="39" spans="1:14" s="19" customFormat="1" ht="11.25">
      <c r="A39" s="12">
        <v>1</v>
      </c>
      <c r="B39" s="14">
        <f aca="true" t="shared" si="13" ref="B39:B46">D10</f>
        <v>1167.214576642519</v>
      </c>
      <c r="C39" s="29">
        <f aca="true" t="shared" si="14" ref="C39:C46">F24</f>
        <v>0.17090304000000003</v>
      </c>
      <c r="D39" s="39">
        <f>0.5*(D-Do)*1000</f>
        <v>8</v>
      </c>
      <c r="E39" s="21">
        <f>0.5*0.5*(D-Do)*1000</f>
        <v>4</v>
      </c>
      <c r="F39" s="40">
        <f>0.01*0.5*(D-Do)*1000</f>
        <v>0.08</v>
      </c>
      <c r="G39" s="122">
        <f>SQRT(D39/1000/C39*18*eta(I10)/((roos-rool)*B39))*1000000</f>
        <v>21.881556317478882</v>
      </c>
      <c r="H39" s="123">
        <f>SQRT(E39/1000/C39*18*eta(I10)/((roos-rool)*B39))*1000000</f>
        <v>15.472596855004657</v>
      </c>
      <c r="I39" s="124">
        <f>SQRT(F39/1000/C39*18*eta(I10)/((roos-rool)*B39))*1000000</f>
        <v>2.1881556317478883</v>
      </c>
      <c r="N39" s="34"/>
    </row>
    <row r="40" spans="1:14" s="19" customFormat="1" ht="11.25">
      <c r="A40" s="12">
        <f aca="true" t="shared" si="15" ref="A40:A46">A39+1</f>
        <v>2</v>
      </c>
      <c r="B40" s="14">
        <f t="shared" si="13"/>
        <v>2626.232797445667</v>
      </c>
      <c r="C40" s="29">
        <f t="shared" si="14"/>
        <v>0.11393536000000003</v>
      </c>
      <c r="D40" s="39">
        <f aca="true" t="shared" si="16" ref="D40:D46">0.5*(D-Do)*1000</f>
        <v>8</v>
      </c>
      <c r="E40" s="21">
        <f aca="true" t="shared" si="17" ref="E40:E46">0.5*0.5*(D-Do)*1000</f>
        <v>4</v>
      </c>
      <c r="F40" s="40">
        <f aca="true" t="shared" si="18" ref="F40:F46">0.01*0.5*(D-Do)*1000</f>
        <v>0.08</v>
      </c>
      <c r="G40" s="39">
        <f aca="true" t="shared" si="19" ref="G40:G46">SQRT(D40/1000/C40*18*eta(I11)/((roos-rool)*B40))*1000000</f>
        <v>17.36828049491371</v>
      </c>
      <c r="H40" s="21">
        <f aca="true" t="shared" si="20" ref="H40:H46">SQRT(E40/1000/C40*18*eta(I11)/((roos-rool)*B40))*1000000</f>
        <v>12.281228915503528</v>
      </c>
      <c r="I40" s="40">
        <f aca="true" t="shared" si="21" ref="I40:I46">SQRT(F40/1000/C40*18*eta(I11)/((roos-rool)*B40))*1000000</f>
        <v>1.736828049491371</v>
      </c>
      <c r="N40" s="34"/>
    </row>
    <row r="41" spans="1:9" s="19" customFormat="1" ht="11.25">
      <c r="A41" s="12">
        <f t="shared" si="15"/>
        <v>3</v>
      </c>
      <c r="B41" s="14">
        <f t="shared" si="13"/>
        <v>4668.858306570076</v>
      </c>
      <c r="C41" s="29">
        <f t="shared" si="14"/>
        <v>0.08545152000000002</v>
      </c>
      <c r="D41" s="39">
        <f t="shared" si="16"/>
        <v>8</v>
      </c>
      <c r="E41" s="21">
        <f t="shared" si="17"/>
        <v>4</v>
      </c>
      <c r="F41" s="40">
        <f t="shared" si="18"/>
        <v>0.08</v>
      </c>
      <c r="G41" s="39">
        <f t="shared" si="19"/>
        <v>14.628088921233012</v>
      </c>
      <c r="H41" s="21">
        <f t="shared" si="20"/>
        <v>10.343620872003672</v>
      </c>
      <c r="I41" s="40">
        <f t="shared" si="21"/>
        <v>1.4628088921233011</v>
      </c>
    </row>
    <row r="42" spans="1:9" s="19" customFormat="1" ht="11.25">
      <c r="A42" s="12">
        <f t="shared" si="15"/>
        <v>4</v>
      </c>
      <c r="B42" s="14">
        <f t="shared" si="13"/>
        <v>7295.0911040157425</v>
      </c>
      <c r="C42" s="29">
        <f t="shared" si="14"/>
        <v>0.06836121600000002</v>
      </c>
      <c r="D42" s="39">
        <f t="shared" si="16"/>
        <v>8</v>
      </c>
      <c r="E42" s="21">
        <f t="shared" si="17"/>
        <v>4</v>
      </c>
      <c r="F42" s="40">
        <f t="shared" si="18"/>
        <v>0.08</v>
      </c>
      <c r="G42" s="39">
        <f t="shared" si="19"/>
        <v>12.730250272088133</v>
      </c>
      <c r="H42" s="21">
        <f t="shared" si="20"/>
        <v>9.00164629359541</v>
      </c>
      <c r="I42" s="40">
        <f t="shared" si="21"/>
        <v>1.2730250272088133</v>
      </c>
    </row>
    <row r="43" spans="1:9" s="19" customFormat="1" ht="11.25">
      <c r="A43" s="12">
        <f t="shared" si="15"/>
        <v>5</v>
      </c>
      <c r="B43" s="14">
        <f t="shared" si="13"/>
        <v>10504.931189782668</v>
      </c>
      <c r="C43" s="29">
        <f t="shared" si="14"/>
        <v>0.056967680000000014</v>
      </c>
      <c r="D43" s="39">
        <f t="shared" si="16"/>
        <v>8</v>
      </c>
      <c r="E43" s="21">
        <f t="shared" si="17"/>
        <v>4</v>
      </c>
      <c r="F43" s="40">
        <f t="shared" si="18"/>
        <v>0.08</v>
      </c>
      <c r="G43" s="39">
        <f t="shared" si="19"/>
        <v>11.313139724453155</v>
      </c>
      <c r="H43" s="21">
        <f t="shared" si="20"/>
        <v>7.999597815671736</v>
      </c>
      <c r="I43" s="40">
        <f t="shared" si="21"/>
        <v>1.1313139724453154</v>
      </c>
    </row>
    <row r="44" spans="1:9" s="19" customFormat="1" ht="11.25">
      <c r="A44" s="12">
        <f t="shared" si="15"/>
        <v>6</v>
      </c>
      <c r="B44" s="14">
        <f t="shared" si="13"/>
        <v>14298.378563870852</v>
      </c>
      <c r="C44" s="29">
        <f t="shared" si="14"/>
        <v>0.048829440000000016</v>
      </c>
      <c r="D44" s="39">
        <f t="shared" si="16"/>
        <v>8</v>
      </c>
      <c r="E44" s="21">
        <f t="shared" si="17"/>
        <v>4</v>
      </c>
      <c r="F44" s="40">
        <f t="shared" si="18"/>
        <v>0.08</v>
      </c>
      <c r="G44" s="39">
        <f t="shared" si="19"/>
        <v>10.202501347708804</v>
      </c>
      <c r="H44" s="21">
        <f t="shared" si="20"/>
        <v>7.214257888029786</v>
      </c>
      <c r="I44" s="40">
        <f t="shared" si="21"/>
        <v>1.0202501347708803</v>
      </c>
    </row>
    <row r="45" spans="1:9" s="19" customFormat="1" ht="11.25">
      <c r="A45" s="12">
        <f t="shared" si="15"/>
        <v>7</v>
      </c>
      <c r="B45" s="14">
        <f t="shared" si="13"/>
        <v>18675.433226280304</v>
      </c>
      <c r="C45" s="29">
        <f t="shared" si="14"/>
        <v>0.04272576000000001</v>
      </c>
      <c r="D45" s="39">
        <f t="shared" si="16"/>
        <v>8</v>
      </c>
      <c r="E45" s="21">
        <f t="shared" si="17"/>
        <v>4</v>
      </c>
      <c r="F45" s="40">
        <f t="shared" si="18"/>
        <v>0.08</v>
      </c>
      <c r="G45" s="39">
        <f t="shared" si="19"/>
        <v>9.302377031906952</v>
      </c>
      <c r="H45" s="21">
        <f t="shared" si="20"/>
        <v>6.5777738804153945</v>
      </c>
      <c r="I45" s="40">
        <f t="shared" si="21"/>
        <v>0.9302377031906952</v>
      </c>
    </row>
    <row r="46" spans="1:13" s="19" customFormat="1" ht="11.25">
      <c r="A46" s="12">
        <f t="shared" si="15"/>
        <v>8</v>
      </c>
      <c r="B46" s="14">
        <f t="shared" si="13"/>
        <v>23636.09517701101</v>
      </c>
      <c r="C46" s="29">
        <f t="shared" si="14"/>
        <v>0.037978453333333335</v>
      </c>
      <c r="D46" s="43">
        <f t="shared" si="16"/>
        <v>8</v>
      </c>
      <c r="E46" s="44">
        <f t="shared" si="17"/>
        <v>4</v>
      </c>
      <c r="F46" s="45">
        <f t="shared" si="18"/>
        <v>0.08</v>
      </c>
      <c r="G46" s="43">
        <f t="shared" si="19"/>
        <v>8.554831922175133</v>
      </c>
      <c r="H46" s="44">
        <f t="shared" si="20"/>
        <v>6.049179664081183</v>
      </c>
      <c r="I46" s="45">
        <f t="shared" si="21"/>
        <v>0.8554831922175131</v>
      </c>
      <c r="L46" s="32"/>
      <c r="M46" s="32"/>
    </row>
    <row r="47" spans="3:12" s="19" customFormat="1" ht="11.25">
      <c r="C47" s="4"/>
      <c r="G47" s="4"/>
      <c r="I47" s="21"/>
      <c r="L47" s="32"/>
    </row>
    <row r="48" spans="3:12" s="19" customFormat="1" ht="11.25">
      <c r="C48" s="4"/>
      <c r="D48" s="4"/>
      <c r="E48" s="4"/>
      <c r="F48" s="4"/>
      <c r="H48" s="21"/>
      <c r="J48" s="32"/>
      <c r="K48" s="32"/>
      <c r="L48" s="32"/>
    </row>
    <row r="49" spans="1:11" s="19" customFormat="1" ht="11.25">
      <c r="A49" s="26" t="s">
        <v>144</v>
      </c>
      <c r="D49" s="4"/>
      <c r="E49" s="4"/>
      <c r="F49" s="4"/>
      <c r="H49" s="21"/>
      <c r="J49" s="32"/>
      <c r="K49" s="32"/>
    </row>
    <row r="50" spans="4:10" s="19" customFormat="1" ht="11.25">
      <c r="D50" s="4"/>
      <c r="E50" s="4"/>
      <c r="G50" s="21"/>
      <c r="I50" s="32"/>
      <c r="J50" s="32"/>
    </row>
    <row r="51" spans="4:10" s="19" customFormat="1" ht="11.25">
      <c r="D51" s="113" t="s">
        <v>41</v>
      </c>
      <c r="E51" s="114" t="s">
        <v>41</v>
      </c>
      <c r="F51" s="115" t="s">
        <v>41</v>
      </c>
      <c r="G51" s="116"/>
      <c r="H51" s="117"/>
      <c r="I51" s="118"/>
      <c r="J51" s="32"/>
    </row>
    <row r="52" spans="1:18" s="19" customFormat="1" ht="12" thickBot="1">
      <c r="A52" s="11" t="s">
        <v>7</v>
      </c>
      <c r="B52" s="112"/>
      <c r="C52" s="112"/>
      <c r="D52" s="110" t="s">
        <v>53</v>
      </c>
      <c r="E52" s="11" t="s">
        <v>54</v>
      </c>
      <c r="F52" s="111" t="s">
        <v>55</v>
      </c>
      <c r="G52" s="110" t="s">
        <v>56</v>
      </c>
      <c r="H52" s="11" t="s">
        <v>57</v>
      </c>
      <c r="I52" s="119" t="s">
        <v>58</v>
      </c>
      <c r="J52" s="32"/>
      <c r="K52" s="4" t="s">
        <v>141</v>
      </c>
      <c r="Q52" s="32"/>
      <c r="R52" s="32"/>
    </row>
    <row r="53" spans="1:18" s="19" customFormat="1" ht="11.25">
      <c r="A53" s="12">
        <v>1</v>
      </c>
      <c r="D53" s="41">
        <f>(D39/1000)/C39</f>
        <v>0.046810167917434344</v>
      </c>
      <c r="E53" s="29">
        <f>(E39/1000)/C39</f>
        <v>0.023405083958717172</v>
      </c>
      <c r="F53" s="42">
        <f>(F39/1000)/C39</f>
        <v>0.00046810167917434346</v>
      </c>
      <c r="G53" s="39">
        <f>rool*D53*G39*0.000001/eta(I10)</f>
        <v>0.7721363479618163</v>
      </c>
      <c r="H53" s="21">
        <f>rool*E53*H39*0.000001/eta(I10)</f>
        <v>0.272991423822208</v>
      </c>
      <c r="I53" s="40">
        <f>rool*F53*I39*0.000001/eta(I10)</f>
        <v>0.0007721363479618165</v>
      </c>
      <c r="J53" s="32"/>
      <c r="Q53" s="32"/>
      <c r="R53" s="32"/>
    </row>
    <row r="54" spans="1:18" s="19" customFormat="1" ht="11.25">
      <c r="A54" s="12">
        <f aca="true" t="shared" si="22" ref="A54:A60">A53+1</f>
        <v>2</v>
      </c>
      <c r="D54" s="41">
        <f aca="true" t="shared" si="23" ref="D54:D60">(D40/1000)/C40</f>
        <v>0.07021525187615152</v>
      </c>
      <c r="E54" s="29">
        <f aca="true" t="shared" si="24" ref="E54:E60">(E40/1000)/C40</f>
        <v>0.03510762593807576</v>
      </c>
      <c r="F54" s="42">
        <f aca="true" t="shared" si="25" ref="F54:F60">(F40/1000)/C40</f>
        <v>0.0007021525187615152</v>
      </c>
      <c r="G54" s="39">
        <f aca="true" t="shared" si="26" ref="G54:G60">rool*D54*G40*0.000001/eta(I11)</f>
        <v>0.9727816744810639</v>
      </c>
      <c r="H54" s="21">
        <f aca="true" t="shared" si="27" ref="H54:H60">rool*E54*H40*0.000001/eta(I11)</f>
        <v>0.34393025931978244</v>
      </c>
      <c r="I54" s="40">
        <f aca="true" t="shared" si="28" ref="I54:I60">rool*F54*I40*0.000001/eta(I11)</f>
        <v>0.000972781674481064</v>
      </c>
      <c r="J54" s="32"/>
      <c r="Q54" s="32"/>
      <c r="R54" s="32"/>
    </row>
    <row r="55" spans="1:18" s="19" customFormat="1" ht="11.25">
      <c r="A55" s="12">
        <f t="shared" si="22"/>
        <v>3</v>
      </c>
      <c r="D55" s="41">
        <f t="shared" si="23"/>
        <v>0.09362033583486869</v>
      </c>
      <c r="E55" s="29">
        <f t="shared" si="24"/>
        <v>0.046810167917434344</v>
      </c>
      <c r="F55" s="42">
        <f t="shared" si="25"/>
        <v>0.0009362033583486869</v>
      </c>
      <c r="G55" s="39">
        <f t="shared" si="26"/>
        <v>1.1550069919369084</v>
      </c>
      <c r="H55" s="21">
        <f t="shared" si="27"/>
        <v>0.40835663815823203</v>
      </c>
      <c r="I55" s="40">
        <f t="shared" si="28"/>
        <v>0.0011550069919369086</v>
      </c>
      <c r="J55" s="32"/>
      <c r="Q55" s="32"/>
      <c r="R55" s="32"/>
    </row>
    <row r="56" spans="1:18" s="19" customFormat="1" ht="11.25">
      <c r="A56" s="12">
        <f t="shared" si="22"/>
        <v>4</v>
      </c>
      <c r="D56" s="41">
        <f t="shared" si="23"/>
        <v>0.11702541979358586</v>
      </c>
      <c r="E56" s="29">
        <f t="shared" si="24"/>
        <v>0.05851270989679293</v>
      </c>
      <c r="F56" s="42">
        <f t="shared" si="25"/>
        <v>0.0011702541979358586</v>
      </c>
      <c r="G56" s="39">
        <f t="shared" si="26"/>
        <v>1.3271966082036497</v>
      </c>
      <c r="H56" s="21">
        <f t="shared" si="27"/>
        <v>0.46923486081429305</v>
      </c>
      <c r="I56" s="40">
        <f t="shared" si="28"/>
        <v>0.0013271966082036494</v>
      </c>
      <c r="J56" s="32"/>
      <c r="Q56" s="32"/>
      <c r="R56" s="32"/>
    </row>
    <row r="57" spans="1:18" s="19" customFormat="1" ht="11.25">
      <c r="A57" s="12">
        <f t="shared" si="22"/>
        <v>5</v>
      </c>
      <c r="D57" s="41">
        <f t="shared" si="23"/>
        <v>0.14043050375230304</v>
      </c>
      <c r="E57" s="29">
        <f t="shared" si="24"/>
        <v>0.07021525187615152</v>
      </c>
      <c r="F57" s="42">
        <f t="shared" si="25"/>
        <v>0.0014043050375230305</v>
      </c>
      <c r="G57" s="39">
        <f t="shared" si="26"/>
        <v>1.4934443836293771</v>
      </c>
      <c r="H57" s="21">
        <f t="shared" si="27"/>
        <v>0.5280123254946482</v>
      </c>
      <c r="I57" s="40">
        <f t="shared" si="28"/>
        <v>0.001493444383629377</v>
      </c>
      <c r="J57" s="32"/>
      <c r="Q57" s="32"/>
      <c r="R57" s="32"/>
    </row>
    <row r="58" spans="1:18" s="19" customFormat="1" ht="11.25">
      <c r="A58" s="12">
        <f t="shared" si="22"/>
        <v>6</v>
      </c>
      <c r="D58" s="41">
        <f t="shared" si="23"/>
        <v>0.1638355877110202</v>
      </c>
      <c r="E58" s="29">
        <f t="shared" si="24"/>
        <v>0.0819177938555101</v>
      </c>
      <c r="F58" s="42">
        <f t="shared" si="25"/>
        <v>0.001638355877110202</v>
      </c>
      <c r="G58" s="39">
        <f t="shared" si="26"/>
        <v>1.6560198726651696</v>
      </c>
      <c r="H58" s="21">
        <f t="shared" si="27"/>
        <v>0.5854914408706122</v>
      </c>
      <c r="I58" s="40">
        <f t="shared" si="28"/>
        <v>0.0016560198726651694</v>
      </c>
      <c r="J58" s="32"/>
      <c r="Q58" s="32"/>
      <c r="R58" s="32"/>
    </row>
    <row r="59" spans="1:18" s="19" customFormat="1" ht="11.25">
      <c r="A59" s="12">
        <f t="shared" si="22"/>
        <v>7</v>
      </c>
      <c r="D59" s="41">
        <f t="shared" si="23"/>
        <v>0.18724067166973737</v>
      </c>
      <c r="E59" s="29">
        <f t="shared" si="24"/>
        <v>0.09362033583486869</v>
      </c>
      <c r="F59" s="42">
        <f t="shared" si="25"/>
        <v>0.0018724067166973738</v>
      </c>
      <c r="G59" s="39">
        <f t="shared" si="26"/>
        <v>1.8162610400274686</v>
      </c>
      <c r="H59" s="21">
        <f t="shared" si="27"/>
        <v>0.6421452489041773</v>
      </c>
      <c r="I59" s="40">
        <f t="shared" si="28"/>
        <v>0.0018162610400274688</v>
      </c>
      <c r="J59" s="32"/>
      <c r="Q59" s="32"/>
      <c r="R59" s="32"/>
    </row>
    <row r="60" spans="1:18" s="19" customFormat="1" ht="11.25">
      <c r="A60" s="12">
        <f t="shared" si="22"/>
        <v>8</v>
      </c>
      <c r="D60" s="46">
        <f t="shared" si="23"/>
        <v>0.21064575562845458</v>
      </c>
      <c r="E60" s="47">
        <f t="shared" si="24"/>
        <v>0.10532287781422729</v>
      </c>
      <c r="F60" s="48">
        <f t="shared" si="25"/>
        <v>0.002106457556284546</v>
      </c>
      <c r="G60" s="43">
        <f t="shared" si="26"/>
        <v>1.9749710031010335</v>
      </c>
      <c r="H60" s="44">
        <f t="shared" si="27"/>
        <v>0.6982576944697694</v>
      </c>
      <c r="I60" s="45">
        <f t="shared" si="28"/>
        <v>0.001974971003101033</v>
      </c>
      <c r="J60" s="32"/>
      <c r="Q60" s="32"/>
      <c r="R60" s="32"/>
    </row>
    <row r="61" spans="4:18" s="19" customFormat="1" ht="11.25">
      <c r="D61" s="4"/>
      <c r="E61" s="4"/>
      <c r="G61" s="21"/>
      <c r="I61" s="32"/>
      <c r="J61" s="32"/>
      <c r="Q61" s="32"/>
      <c r="R61" s="32"/>
    </row>
    <row r="62" spans="4:18" s="19" customFormat="1" ht="11.25">
      <c r="D62" s="4"/>
      <c r="E62" s="4"/>
      <c r="G62" s="21"/>
      <c r="I62" s="32"/>
      <c r="J62" s="32"/>
      <c r="Q62" s="32"/>
      <c r="R62" s="32"/>
    </row>
    <row r="63" spans="2:10" s="19" customFormat="1" ht="11.25">
      <c r="B63" s="4"/>
      <c r="C63" s="4"/>
      <c r="D63" s="4"/>
      <c r="E63" s="4"/>
      <c r="F63" s="4"/>
      <c r="G63" s="21"/>
      <c r="I63" s="32"/>
      <c r="J63" s="32"/>
    </row>
    <row r="64" spans="1:18" ht="11.25">
      <c r="A64" s="19"/>
      <c r="N64" s="19"/>
      <c r="R64" s="19"/>
    </row>
    <row r="65" spans="1:18" ht="11.25">
      <c r="A65" s="19"/>
      <c r="N65" s="19"/>
      <c r="R65" s="19"/>
    </row>
    <row r="66" spans="1:18" ht="11.25">
      <c r="A66" s="19"/>
      <c r="N66" s="19"/>
      <c r="R66" s="19"/>
    </row>
    <row r="67" spans="1:18" ht="11.25">
      <c r="A67" s="19"/>
      <c r="N67" s="19"/>
      <c r="R67" s="19"/>
    </row>
    <row r="68" spans="1:18" ht="11.25">
      <c r="A68" s="19"/>
      <c r="N68" s="19"/>
      <c r="R68" s="19"/>
    </row>
    <row r="69" spans="1:18" ht="11.25">
      <c r="A69" s="19"/>
      <c r="N69" s="19"/>
      <c r="R69" s="19"/>
    </row>
    <row r="70" spans="14:18" ht="11.25">
      <c r="N70" s="19"/>
      <c r="R70" s="19"/>
    </row>
    <row r="71" spans="14:18" ht="11.25">
      <c r="N71" s="19"/>
      <c r="R71" s="19"/>
    </row>
    <row r="72" spans="14:18" ht="11.25">
      <c r="N72" s="19"/>
      <c r="R72" s="19"/>
    </row>
    <row r="73" spans="14:18" ht="11.25">
      <c r="N73" s="19"/>
      <c r="R73" s="19"/>
    </row>
    <row r="74" spans="14:16" ht="11.25">
      <c r="N74" s="12"/>
      <c r="O74" s="21"/>
      <c r="P74" s="29"/>
    </row>
    <row r="75" spans="14:16" ht="11.25">
      <c r="N75" s="12"/>
      <c r="O75" s="21"/>
      <c r="P75" s="29"/>
    </row>
  </sheetData>
  <sheetProtection sheet="1" objects="1" scenarios="1"/>
  <printOptions gridLines="1"/>
  <pageMargins left="0.984251968503937" right="0.5905511811023623" top="0.5905511811023623" bottom="0.7874015748031497" header="0" footer="0.5905511811023623"/>
  <pageSetup horizontalDpi="300" verticalDpi="300" orientation="portrait" paperSize="9" r:id="rId1"/>
  <headerFooter alignWithMargins="0">
    <oddFooter>&amp;CFile: &amp;F     Sheet: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K56"/>
  <sheetViews>
    <sheetView tabSelected="1" workbookViewId="0" topLeftCell="A1">
      <selection activeCell="O25" sqref="O25"/>
    </sheetView>
  </sheetViews>
  <sheetFormatPr defaultColWidth="9.140625" defaultRowHeight="12.75"/>
  <cols>
    <col min="1" max="1" width="3.7109375" style="61" customWidth="1"/>
    <col min="2" max="16384" width="9.140625" style="61" customWidth="1"/>
  </cols>
  <sheetData>
    <row r="1" ht="11.25">
      <c r="A1" s="60" t="s">
        <v>98</v>
      </c>
    </row>
    <row r="2" spans="1:10" ht="11.25">
      <c r="A2" s="60"/>
      <c r="J2" s="62" t="s">
        <v>5</v>
      </c>
    </row>
    <row r="3" spans="9:10" ht="11.25">
      <c r="I3" s="63" t="s">
        <v>145</v>
      </c>
      <c r="J3" s="85">
        <v>0.06</v>
      </c>
    </row>
    <row r="4" spans="5:10" ht="11.25">
      <c r="E4" s="63"/>
      <c r="H4" s="63"/>
      <c r="I4" s="64"/>
      <c r="J4" s="64"/>
    </row>
    <row r="5" spans="1:10" ht="11.25">
      <c r="A5" s="60" t="s">
        <v>146</v>
      </c>
      <c r="I5" s="64"/>
      <c r="J5" s="65"/>
    </row>
    <row r="6" spans="1:11" ht="11.25">
      <c r="A6" s="60"/>
      <c r="B6" s="10" t="s">
        <v>40</v>
      </c>
      <c r="C6" s="10" t="s">
        <v>41</v>
      </c>
      <c r="D6" s="10" t="s">
        <v>42</v>
      </c>
      <c r="E6" s="10" t="s">
        <v>64</v>
      </c>
      <c r="G6" s="10" t="s">
        <v>66</v>
      </c>
      <c r="K6" s="61" t="s">
        <v>147</v>
      </c>
    </row>
    <row r="7" spans="1:11" ht="12" thickBot="1">
      <c r="A7" s="2" t="s">
        <v>7</v>
      </c>
      <c r="B7" s="11" t="s">
        <v>79</v>
      </c>
      <c r="C7" s="2" t="s">
        <v>81</v>
      </c>
      <c r="D7" s="2" t="s">
        <v>24</v>
      </c>
      <c r="E7" s="2" t="s">
        <v>63</v>
      </c>
      <c r="F7" s="66"/>
      <c r="G7" s="67" t="s">
        <v>65</v>
      </c>
      <c r="K7" s="61" t="s">
        <v>148</v>
      </c>
    </row>
    <row r="8" spans="1:11" ht="11.25">
      <c r="A8" s="68">
        <v>1</v>
      </c>
      <c r="B8" s="89">
        <f>'Balance and Eff.'!C10</f>
        <v>0.00030000000000000003</v>
      </c>
      <c r="C8" s="69">
        <f>B8/A</f>
        <v>0.14808946815345864</v>
      </c>
      <c r="D8" s="70">
        <f>'Cut size'!I10</f>
        <v>10</v>
      </c>
      <c r="E8" s="84">
        <v>300000</v>
      </c>
      <c r="G8" s="71">
        <f>B8*((E8-100000)+roo(D8)*1*C8^2/2)</f>
        <v>60.00328856451001</v>
      </c>
      <c r="K8" s="61" t="s">
        <v>163</v>
      </c>
    </row>
    <row r="9" spans="1:11" ht="11.25">
      <c r="A9" s="68">
        <f aca="true" t="shared" si="0" ref="A9:A15">A8+1</f>
        <v>2</v>
      </c>
      <c r="B9" s="89">
        <f>'Balance and Eff.'!C11</f>
        <v>0.00045</v>
      </c>
      <c r="C9" s="69">
        <f aca="true" t="shared" si="1" ref="C9:C15">B9/A</f>
        <v>0.2221342022301879</v>
      </c>
      <c r="D9" s="70">
        <f>'Cut size'!I11</f>
        <v>12</v>
      </c>
      <c r="E9" s="84">
        <v>300000</v>
      </c>
      <c r="G9" s="71">
        <f aca="true" t="shared" si="2" ref="G9:G15">B9*((E9-100000)+roo(D9)*1*C9^2/2)</f>
        <v>90.01109668735701</v>
      </c>
      <c r="K9" s="61" t="s">
        <v>164</v>
      </c>
    </row>
    <row r="10" spans="1:7" ht="11.25">
      <c r="A10" s="68">
        <f t="shared" si="0"/>
        <v>3</v>
      </c>
      <c r="B10" s="89">
        <f>'Balance and Eff.'!C12</f>
        <v>0.0006000000000000001</v>
      </c>
      <c r="C10" s="69">
        <f t="shared" si="1"/>
        <v>0.2961789363069173</v>
      </c>
      <c r="D10" s="70">
        <f>'Cut size'!I12</f>
        <v>14</v>
      </c>
      <c r="E10" s="84">
        <v>300000</v>
      </c>
      <c r="G10" s="71">
        <f t="shared" si="2"/>
        <v>120.02629676761795</v>
      </c>
    </row>
    <row r="11" spans="1:7" ht="11.25">
      <c r="A11" s="68">
        <f t="shared" si="0"/>
        <v>4</v>
      </c>
      <c r="B11" s="89">
        <f>'Balance and Eff.'!C13</f>
        <v>0.00075</v>
      </c>
      <c r="C11" s="69">
        <f t="shared" si="1"/>
        <v>0.3702236703836465</v>
      </c>
      <c r="D11" s="70">
        <f>'Cut size'!I13</f>
        <v>16</v>
      </c>
      <c r="E11" s="84">
        <v>300000</v>
      </c>
      <c r="G11" s="71">
        <f t="shared" si="2"/>
        <v>150.05134584223887</v>
      </c>
    </row>
    <row r="12" spans="1:7" ht="11.25">
      <c r="A12" s="68">
        <f t="shared" si="0"/>
        <v>5</v>
      </c>
      <c r="B12" s="89">
        <f>'Balance and Eff.'!C14</f>
        <v>0.0009</v>
      </c>
      <c r="C12" s="69">
        <f t="shared" si="1"/>
        <v>0.4442684044603758</v>
      </c>
      <c r="D12" s="70">
        <f>'Cut size'!I14</f>
        <v>18</v>
      </c>
      <c r="E12" s="84">
        <v>300000</v>
      </c>
      <c r="G12" s="71">
        <f t="shared" si="2"/>
        <v>180.08869567094646</v>
      </c>
    </row>
    <row r="13" spans="1:7" ht="11.25">
      <c r="A13" s="68">
        <f t="shared" si="0"/>
        <v>6</v>
      </c>
      <c r="B13" s="89">
        <f>'Balance and Eff.'!C15</f>
        <v>0.00105</v>
      </c>
      <c r="C13" s="69">
        <f t="shared" si="1"/>
        <v>0.5183131385371051</v>
      </c>
      <c r="D13" s="70">
        <f>'Cut size'!I15</f>
        <v>20</v>
      </c>
      <c r="E13" s="84">
        <v>300000</v>
      </c>
      <c r="G13" s="71">
        <f t="shared" si="2"/>
        <v>210.14079174266507</v>
      </c>
    </row>
    <row r="14" spans="1:7" ht="11.25">
      <c r="A14" s="68">
        <f t="shared" si="0"/>
        <v>7</v>
      </c>
      <c r="B14" s="89">
        <f>'Balance and Eff.'!C16</f>
        <v>0.0012000000000000001</v>
      </c>
      <c r="C14" s="69">
        <f t="shared" si="1"/>
        <v>0.5923578726138345</v>
      </c>
      <c r="D14" s="70">
        <f>'Cut size'!I16</f>
        <v>22</v>
      </c>
      <c r="E14" s="84">
        <v>300000</v>
      </c>
      <c r="G14" s="71">
        <f t="shared" si="2"/>
        <v>240.2100723364094</v>
      </c>
    </row>
    <row r="15" spans="1:7" ht="11.25">
      <c r="A15" s="68">
        <f t="shared" si="0"/>
        <v>8</v>
      </c>
      <c r="B15" s="89">
        <f>'Balance and Eff.'!C17</f>
        <v>0.00135</v>
      </c>
      <c r="C15" s="69">
        <f t="shared" si="1"/>
        <v>0.6664026066905637</v>
      </c>
      <c r="D15" s="70">
        <f>'Cut size'!I17</f>
        <v>24</v>
      </c>
      <c r="E15" s="84">
        <v>300000</v>
      </c>
      <c r="G15" s="71">
        <f t="shared" si="2"/>
        <v>270.29896763665204</v>
      </c>
    </row>
    <row r="17" spans="1:10" ht="11.25">
      <c r="A17" s="60"/>
      <c r="B17" s="68"/>
      <c r="C17" s="68"/>
      <c r="D17" s="64"/>
      <c r="E17" s="64"/>
      <c r="F17" s="64"/>
      <c r="G17" s="64"/>
      <c r="J17" s="64"/>
    </row>
    <row r="18" spans="1:6" ht="11.25">
      <c r="A18" s="60" t="s">
        <v>149</v>
      </c>
      <c r="B18" s="68"/>
      <c r="C18" s="68"/>
      <c r="D18" s="68"/>
      <c r="E18" s="68"/>
      <c r="F18" s="68"/>
    </row>
    <row r="19" spans="1:10" ht="11.25">
      <c r="A19" s="60"/>
      <c r="B19" s="10" t="s">
        <v>40</v>
      </c>
      <c r="C19" s="10" t="s">
        <v>41</v>
      </c>
      <c r="D19" s="10" t="s">
        <v>42</v>
      </c>
      <c r="E19" s="10"/>
      <c r="F19" s="10"/>
      <c r="G19" s="10" t="s">
        <v>66</v>
      </c>
      <c r="H19" s="72"/>
      <c r="I19" s="60" t="s">
        <v>150</v>
      </c>
      <c r="J19" s="68"/>
    </row>
    <row r="20" spans="1:11" ht="12" thickBot="1">
      <c r="A20" s="2" t="s">
        <v>7</v>
      </c>
      <c r="B20" s="2" t="s">
        <v>79</v>
      </c>
      <c r="C20" s="2" t="s">
        <v>62</v>
      </c>
      <c r="D20" s="2" t="s">
        <v>24</v>
      </c>
      <c r="E20" s="2" t="s">
        <v>52</v>
      </c>
      <c r="F20" s="2" t="s">
        <v>67</v>
      </c>
      <c r="G20" s="67" t="s">
        <v>65</v>
      </c>
      <c r="H20" s="72"/>
      <c r="I20" s="5" t="s">
        <v>23</v>
      </c>
      <c r="J20" s="86">
        <v>5</v>
      </c>
      <c r="K20" s="61" t="s">
        <v>82</v>
      </c>
    </row>
    <row r="21" spans="1:11" ht="11.25">
      <c r="A21" s="68">
        <v>1</v>
      </c>
      <c r="B21" s="89">
        <f>'Balance and Eff.'!C10</f>
        <v>0.00030000000000000003</v>
      </c>
      <c r="C21" s="69">
        <f>B21/A</f>
        <v>0.14808946815345864</v>
      </c>
      <c r="D21" s="70">
        <f>'Cut size'!I10</f>
        <v>10</v>
      </c>
      <c r="E21" s="84">
        <f>roo(D21)*C21*D/eta(D21)</f>
        <v>5669.310401023291</v>
      </c>
      <c r="F21" s="106">
        <f>0.0056+0.5*E21^-0.32</f>
        <v>0.03706591237316884</v>
      </c>
      <c r="G21" s="82">
        <f>B21*roo(D21)*(F21*L/D+zeta)*C21^2/2</f>
        <v>0.028440228451676562</v>
      </c>
      <c r="H21" s="72"/>
      <c r="I21" s="63" t="s">
        <v>18</v>
      </c>
      <c r="J21" s="86">
        <v>0.0508</v>
      </c>
      <c r="K21" s="61" t="s">
        <v>82</v>
      </c>
    </row>
    <row r="22" spans="1:11" ht="11.25">
      <c r="A22" s="68">
        <f aca="true" t="shared" si="3" ref="A22:A28">A21+1</f>
        <v>2</v>
      </c>
      <c r="B22" s="89">
        <f>'Balance and Eff.'!C11</f>
        <v>0.00045</v>
      </c>
      <c r="C22" s="69">
        <f aca="true" t="shared" si="4" ref="C22:C28">B22/A</f>
        <v>0.2221342022301879</v>
      </c>
      <c r="D22" s="70">
        <f>'Cut size'!I11</f>
        <v>12</v>
      </c>
      <c r="E22" s="84">
        <f aca="true" t="shared" si="5" ref="E22:E28">roo(D22)*C22*D/eta(D22)</f>
        <v>8996.7615518511</v>
      </c>
      <c r="F22" s="106">
        <f aca="true" t="shared" si="6" ref="F22:F28">0.0056+0.5*E22^-0.32</f>
        <v>0.03274328564616412</v>
      </c>
      <c r="G22" s="82">
        <f aca="true" t="shared" si="7" ref="G22:G28">B22*roo(D22)*(F22*L/D+zeta)*C22^2/2</f>
        <v>0.09124544503870372</v>
      </c>
      <c r="H22" s="72"/>
      <c r="I22" s="63" t="s">
        <v>21</v>
      </c>
      <c r="J22" s="74">
        <f>3.14*J21^2/4</f>
        <v>0.0020258024</v>
      </c>
      <c r="K22" s="61" t="s">
        <v>4</v>
      </c>
    </row>
    <row r="23" spans="1:10" ht="11.25">
      <c r="A23" s="68">
        <f t="shared" si="3"/>
        <v>3</v>
      </c>
      <c r="B23" s="89">
        <f>'Balance and Eff.'!C12</f>
        <v>0.0006000000000000001</v>
      </c>
      <c r="C23" s="69">
        <f t="shared" si="4"/>
        <v>0.2961789363069173</v>
      </c>
      <c r="D23" s="70">
        <f>'Cut size'!I12</f>
        <v>14</v>
      </c>
      <c r="E23" s="84">
        <f t="shared" si="5"/>
        <v>12679.94833442482</v>
      </c>
      <c r="F23" s="106">
        <f t="shared" si="6"/>
        <v>0.02992049497133828</v>
      </c>
      <c r="G23" s="82">
        <f t="shared" si="7"/>
        <v>0.20892599392377692</v>
      </c>
      <c r="H23" s="72"/>
      <c r="I23" s="63" t="s">
        <v>68</v>
      </c>
      <c r="J23" s="86">
        <v>5</v>
      </c>
    </row>
    <row r="24" spans="1:10" ht="11.25">
      <c r="A24" s="68">
        <f t="shared" si="3"/>
        <v>4</v>
      </c>
      <c r="B24" s="89">
        <f>'Balance and Eff.'!C13</f>
        <v>0.00075</v>
      </c>
      <c r="C24" s="69">
        <f t="shared" si="4"/>
        <v>0.3702236703836465</v>
      </c>
      <c r="D24" s="70">
        <f>'Cut size'!I13</f>
        <v>16</v>
      </c>
      <c r="E24" s="84">
        <f t="shared" si="5"/>
        <v>16737.541166810766</v>
      </c>
      <c r="F24" s="106">
        <f t="shared" si="6"/>
        <v>0.027853005420421843</v>
      </c>
      <c r="G24" s="82">
        <f t="shared" si="7"/>
        <v>0.3974906307017503</v>
      </c>
      <c r="H24" s="72"/>
      <c r="I24" s="72"/>
      <c r="J24" s="72"/>
    </row>
    <row r="25" spans="1:10" ht="11.25">
      <c r="A25" s="68">
        <f t="shared" si="3"/>
        <v>5</v>
      </c>
      <c r="B25" s="89">
        <f>'Balance and Eff.'!C14</f>
        <v>0.0009</v>
      </c>
      <c r="C25" s="69">
        <f t="shared" si="4"/>
        <v>0.4442684044603758</v>
      </c>
      <c r="D25" s="70">
        <f>'Cut size'!I14</f>
        <v>18</v>
      </c>
      <c r="E25" s="84">
        <f t="shared" si="5"/>
        <v>21186.179277180232</v>
      </c>
      <c r="F25" s="106">
        <f t="shared" si="6"/>
        <v>0.026236362997496942</v>
      </c>
      <c r="G25" s="82">
        <f t="shared" si="7"/>
        <v>0.6725188881239197</v>
      </c>
      <c r="H25" s="72"/>
      <c r="I25" s="72"/>
      <c r="J25" s="72"/>
    </row>
    <row r="26" spans="1:10" ht="11.25">
      <c r="A26" s="68">
        <f t="shared" si="3"/>
        <v>6</v>
      </c>
      <c r="B26" s="89">
        <f>'Balance and Eff.'!C15</f>
        <v>0.00105</v>
      </c>
      <c r="C26" s="69">
        <f t="shared" si="4"/>
        <v>0.5183131385371051</v>
      </c>
      <c r="D26" s="70">
        <f>'Cut size'!I15</f>
        <v>20</v>
      </c>
      <c r="E26" s="84">
        <f t="shared" si="5"/>
        <v>26039.94217817036</v>
      </c>
      <c r="F26" s="106">
        <f t="shared" si="6"/>
        <v>0.024918135118345695</v>
      </c>
      <c r="G26" s="82">
        <f t="shared" si="7"/>
        <v>1.0492606490811054</v>
      </c>
      <c r="H26" s="72"/>
      <c r="I26" s="72"/>
      <c r="J26" s="72"/>
    </row>
    <row r="27" spans="1:10" ht="11.25">
      <c r="A27" s="68">
        <f t="shared" si="3"/>
        <v>7</v>
      </c>
      <c r="B27" s="89">
        <f>'Balance and Eff.'!C16</f>
        <v>0.0012000000000000001</v>
      </c>
      <c r="C27" s="69">
        <f t="shared" si="4"/>
        <v>0.5923578726138345</v>
      </c>
      <c r="D27" s="70">
        <f>'Cut size'!I16</f>
        <v>22</v>
      </c>
      <c r="E27" s="84">
        <f t="shared" si="5"/>
        <v>31309.872696694347</v>
      </c>
      <c r="F27" s="106">
        <f t="shared" si="6"/>
        <v>0.023811762907847624</v>
      </c>
      <c r="G27" s="82">
        <f t="shared" si="7"/>
        <v>1.5427034800860986</v>
      </c>
      <c r="H27" s="72"/>
      <c r="I27" s="72"/>
      <c r="J27" s="72"/>
    </row>
    <row r="28" spans="1:10" ht="11.25">
      <c r="A28" s="68">
        <f t="shared" si="3"/>
        <v>8</v>
      </c>
      <c r="B28" s="89">
        <f>'Balance and Eff.'!C17</f>
        <v>0.00135</v>
      </c>
      <c r="C28" s="69">
        <f t="shared" si="4"/>
        <v>0.6664026066905637</v>
      </c>
      <c r="D28" s="70">
        <f>'Cut size'!I17</f>
        <v>24</v>
      </c>
      <c r="E28" s="84">
        <f t="shared" si="5"/>
        <v>37003.5985011286</v>
      </c>
      <c r="F28" s="106">
        <f t="shared" si="6"/>
        <v>0.0228636227499401</v>
      </c>
      <c r="G28" s="82">
        <f t="shared" si="7"/>
        <v>2.1676219685804217</v>
      </c>
      <c r="H28" s="75"/>
      <c r="I28" s="64"/>
      <c r="J28" s="64"/>
    </row>
    <row r="29" spans="1:9" ht="11.25">
      <c r="A29" s="68"/>
      <c r="B29" s="76"/>
      <c r="C29" s="69"/>
      <c r="D29" s="69"/>
      <c r="E29" s="69"/>
      <c r="F29" s="75"/>
      <c r="G29" s="64"/>
      <c r="H29" s="64"/>
      <c r="I29" s="64"/>
    </row>
    <row r="30" spans="9:10" ht="11.25">
      <c r="I30" s="77" t="s">
        <v>158</v>
      </c>
      <c r="J30" s="77" t="s">
        <v>156</v>
      </c>
    </row>
    <row r="31" spans="1:10" ht="11.25" customHeight="1">
      <c r="A31" s="60" t="s">
        <v>151</v>
      </c>
      <c r="B31" s="68"/>
      <c r="C31" s="68"/>
      <c r="D31" s="68"/>
      <c r="E31" s="68"/>
      <c r="F31" s="68"/>
      <c r="I31" s="77" t="s">
        <v>155</v>
      </c>
      <c r="J31" s="77" t="s">
        <v>157</v>
      </c>
    </row>
    <row r="32" spans="1:10" ht="11.25" customHeight="1">
      <c r="A32" s="60"/>
      <c r="B32" s="10" t="s">
        <v>66</v>
      </c>
      <c r="C32" s="1" t="s">
        <v>152</v>
      </c>
      <c r="D32" s="10" t="s">
        <v>66</v>
      </c>
      <c r="E32" s="10" t="s">
        <v>77</v>
      </c>
      <c r="F32" s="1" t="s">
        <v>154</v>
      </c>
      <c r="G32" s="10" t="s">
        <v>66</v>
      </c>
      <c r="I32" s="10" t="s">
        <v>66</v>
      </c>
      <c r="J32" s="10" t="s">
        <v>66</v>
      </c>
    </row>
    <row r="33" spans="1:10" ht="12" thickBot="1">
      <c r="A33" s="2" t="s">
        <v>7</v>
      </c>
      <c r="B33" s="2" t="s">
        <v>69</v>
      </c>
      <c r="C33" s="2" t="s">
        <v>153</v>
      </c>
      <c r="D33" s="2" t="s">
        <v>70</v>
      </c>
      <c r="E33" s="2" t="s">
        <v>78</v>
      </c>
      <c r="F33" s="2" t="s">
        <v>153</v>
      </c>
      <c r="G33" s="2" t="s">
        <v>65</v>
      </c>
      <c r="I33" s="2" t="s">
        <v>65</v>
      </c>
      <c r="J33" s="2" t="s">
        <v>70</v>
      </c>
    </row>
    <row r="34" spans="1:10" ht="11.25">
      <c r="A34" s="68">
        <v>1</v>
      </c>
      <c r="B34" s="84">
        <v>4000</v>
      </c>
      <c r="C34" s="87">
        <v>0.6</v>
      </c>
      <c r="D34" s="70">
        <f>C34*B34</f>
        <v>2400</v>
      </c>
      <c r="E34" s="82">
        <f>B21*3600</f>
        <v>1.08</v>
      </c>
      <c r="F34" s="87">
        <v>0.4</v>
      </c>
      <c r="G34" s="78">
        <f aca="true" t="shared" si="8" ref="G34:G41">(1-F34)*D34</f>
        <v>1440</v>
      </c>
      <c r="I34" s="78">
        <f aca="true" t="shared" si="9" ref="I34:I41">G8+G21+G34</f>
        <v>1500.0317287929618</v>
      </c>
      <c r="J34" s="61">
        <f>D34</f>
        <v>2400</v>
      </c>
    </row>
    <row r="35" spans="1:10" ht="11.25">
      <c r="A35" s="68">
        <f aca="true" t="shared" si="10" ref="A35:A41">A34+1</f>
        <v>2</v>
      </c>
      <c r="B35" s="84">
        <v>4000</v>
      </c>
      <c r="C35" s="87">
        <v>0.6</v>
      </c>
      <c r="D35" s="70">
        <f aca="true" t="shared" si="11" ref="D35:D41">C35*B35</f>
        <v>2400</v>
      </c>
      <c r="E35" s="82">
        <f aca="true" t="shared" si="12" ref="E35:E41">B22*3600</f>
        <v>1.6199999999999999</v>
      </c>
      <c r="F35" s="87">
        <v>0.4</v>
      </c>
      <c r="G35" s="78">
        <f t="shared" si="8"/>
        <v>1440</v>
      </c>
      <c r="I35" s="78">
        <f t="shared" si="9"/>
        <v>1530.1023421323957</v>
      </c>
      <c r="J35" s="61">
        <f aca="true" t="shared" si="13" ref="J35:J41">D35</f>
        <v>2400</v>
      </c>
    </row>
    <row r="36" spans="1:10" ht="11.25">
      <c r="A36" s="68">
        <f t="shared" si="10"/>
        <v>3</v>
      </c>
      <c r="B36" s="84">
        <v>4000</v>
      </c>
      <c r="C36" s="87">
        <v>0.6</v>
      </c>
      <c r="D36" s="70">
        <f t="shared" si="11"/>
        <v>2400</v>
      </c>
      <c r="E36" s="82">
        <f t="shared" si="12"/>
        <v>2.16</v>
      </c>
      <c r="F36" s="87">
        <v>0.4</v>
      </c>
      <c r="G36" s="78">
        <f t="shared" si="8"/>
        <v>1440</v>
      </c>
      <c r="I36" s="78">
        <f t="shared" si="9"/>
        <v>1560.2352227615418</v>
      </c>
      <c r="J36" s="61">
        <f t="shared" si="13"/>
        <v>2400</v>
      </c>
    </row>
    <row r="37" spans="1:10" ht="11.25">
      <c r="A37" s="68">
        <f t="shared" si="10"/>
        <v>4</v>
      </c>
      <c r="B37" s="84">
        <v>4000</v>
      </c>
      <c r="C37" s="87">
        <v>0.6</v>
      </c>
      <c r="D37" s="70">
        <f t="shared" si="11"/>
        <v>2400</v>
      </c>
      <c r="E37" s="82">
        <f t="shared" si="12"/>
        <v>2.7</v>
      </c>
      <c r="F37" s="87">
        <v>0.4</v>
      </c>
      <c r="G37" s="78">
        <f t="shared" si="8"/>
        <v>1440</v>
      </c>
      <c r="I37" s="78">
        <f t="shared" si="9"/>
        <v>1590.4488364729407</v>
      </c>
      <c r="J37" s="61">
        <f t="shared" si="13"/>
        <v>2400</v>
      </c>
    </row>
    <row r="38" spans="1:10" ht="11.25">
      <c r="A38" s="68">
        <f t="shared" si="10"/>
        <v>5</v>
      </c>
      <c r="B38" s="84">
        <v>4000</v>
      </c>
      <c r="C38" s="87">
        <v>0.6</v>
      </c>
      <c r="D38" s="70">
        <f t="shared" si="11"/>
        <v>2400</v>
      </c>
      <c r="E38" s="82">
        <f t="shared" si="12"/>
        <v>3.2399999999999998</v>
      </c>
      <c r="F38" s="87">
        <v>0.4</v>
      </c>
      <c r="G38" s="78">
        <f t="shared" si="8"/>
        <v>1440</v>
      </c>
      <c r="I38" s="78">
        <f t="shared" si="9"/>
        <v>1620.7612145590704</v>
      </c>
      <c r="J38" s="61">
        <f t="shared" si="13"/>
        <v>2400</v>
      </c>
    </row>
    <row r="39" spans="1:10" ht="11.25">
      <c r="A39" s="68">
        <f t="shared" si="10"/>
        <v>6</v>
      </c>
      <c r="B39" s="84">
        <v>4000</v>
      </c>
      <c r="C39" s="87">
        <v>0.6</v>
      </c>
      <c r="D39" s="70">
        <f t="shared" si="11"/>
        <v>2400</v>
      </c>
      <c r="E39" s="82">
        <f t="shared" si="12"/>
        <v>3.78</v>
      </c>
      <c r="F39" s="87">
        <v>0.4</v>
      </c>
      <c r="G39" s="78">
        <f t="shared" si="8"/>
        <v>1440</v>
      </c>
      <c r="I39" s="78">
        <f t="shared" si="9"/>
        <v>1651.1900523917461</v>
      </c>
      <c r="J39" s="61">
        <f t="shared" si="13"/>
        <v>2400</v>
      </c>
    </row>
    <row r="40" spans="1:10" ht="11.25">
      <c r="A40" s="68">
        <f t="shared" si="10"/>
        <v>7</v>
      </c>
      <c r="B40" s="84">
        <v>4000</v>
      </c>
      <c r="C40" s="87">
        <v>0.6</v>
      </c>
      <c r="D40" s="70">
        <f t="shared" si="11"/>
        <v>2400</v>
      </c>
      <c r="E40" s="82">
        <f t="shared" si="12"/>
        <v>4.32</v>
      </c>
      <c r="F40" s="87">
        <v>0.4</v>
      </c>
      <c r="G40" s="78">
        <f t="shared" si="8"/>
        <v>1440</v>
      </c>
      <c r="I40" s="78">
        <f t="shared" si="9"/>
        <v>1681.7527758164956</v>
      </c>
      <c r="J40" s="61">
        <f t="shared" si="13"/>
        <v>2400</v>
      </c>
    </row>
    <row r="41" spans="1:10" ht="11.25">
      <c r="A41" s="68">
        <f t="shared" si="10"/>
        <v>8</v>
      </c>
      <c r="B41" s="84">
        <v>4000</v>
      </c>
      <c r="C41" s="87">
        <v>0.6</v>
      </c>
      <c r="D41" s="70">
        <f t="shared" si="11"/>
        <v>2400</v>
      </c>
      <c r="E41" s="82">
        <f t="shared" si="12"/>
        <v>4.86</v>
      </c>
      <c r="F41" s="87">
        <v>0.4</v>
      </c>
      <c r="G41" s="78">
        <f t="shared" si="8"/>
        <v>1440</v>
      </c>
      <c r="I41" s="78">
        <f t="shared" si="9"/>
        <v>1712.4665896052325</v>
      </c>
      <c r="J41" s="61">
        <f t="shared" si="13"/>
        <v>2400</v>
      </c>
    </row>
    <row r="42" spans="1:7" ht="11.25">
      <c r="A42" s="68"/>
      <c r="B42" s="76"/>
      <c r="C42" s="69"/>
      <c r="D42" s="69"/>
      <c r="E42" s="69"/>
      <c r="F42" s="75"/>
      <c r="G42" s="64"/>
    </row>
    <row r="43" spans="1:7" s="105" customFormat="1" ht="11.25">
      <c r="A43" s="100"/>
      <c r="B43" s="101"/>
      <c r="C43" s="102"/>
      <c r="D43" s="102"/>
      <c r="E43" s="102"/>
      <c r="F43" s="103"/>
      <c r="G43" s="104"/>
    </row>
    <row r="45" spans="1:7" ht="11.25">
      <c r="A45" s="60" t="s">
        <v>159</v>
      </c>
      <c r="B45" s="68"/>
      <c r="C45" s="68"/>
      <c r="D45" s="68" t="s">
        <v>160</v>
      </c>
      <c r="E45" s="68" t="s">
        <v>161</v>
      </c>
      <c r="G45" s="60" t="s">
        <v>162</v>
      </c>
    </row>
    <row r="46" spans="1:9" ht="11.25">
      <c r="A46" s="60"/>
      <c r="B46" s="10" t="s">
        <v>44</v>
      </c>
      <c r="C46" s="10" t="s">
        <v>42</v>
      </c>
      <c r="D46" s="10" t="s">
        <v>71</v>
      </c>
      <c r="E46" s="10" t="s">
        <v>71</v>
      </c>
      <c r="G46" s="10" t="s">
        <v>42</v>
      </c>
      <c r="H46" s="10" t="s">
        <v>42</v>
      </c>
      <c r="I46" s="10" t="s">
        <v>42</v>
      </c>
    </row>
    <row r="47" spans="1:9" ht="12" thickBot="1">
      <c r="A47" s="2" t="s">
        <v>7</v>
      </c>
      <c r="B47" s="2" t="s">
        <v>73</v>
      </c>
      <c r="C47" s="2" t="s">
        <v>24</v>
      </c>
      <c r="D47" s="2" t="s">
        <v>72</v>
      </c>
      <c r="E47" s="2" t="s">
        <v>72</v>
      </c>
      <c r="G47" s="67" t="s">
        <v>74</v>
      </c>
      <c r="H47" s="67" t="s">
        <v>75</v>
      </c>
      <c r="I47" s="67" t="s">
        <v>76</v>
      </c>
    </row>
    <row r="48" spans="1:5" ht="11.25">
      <c r="A48" s="77">
        <v>0</v>
      </c>
      <c r="B48" s="84">
        <v>0</v>
      </c>
      <c r="C48" s="79">
        <v>8</v>
      </c>
      <c r="D48" s="80" t="s">
        <v>39</v>
      </c>
      <c r="E48" s="73"/>
    </row>
    <row r="49" spans="1:9" ht="11.25">
      <c r="A49" s="68">
        <v>1</v>
      </c>
      <c r="B49" s="84">
        <v>300</v>
      </c>
      <c r="C49" s="79">
        <v>9</v>
      </c>
      <c r="D49" s="81">
        <f>(C49-C48)/(B49-B48)</f>
        <v>0.0033333333333333335</v>
      </c>
      <c r="E49" s="73">
        <f aca="true" t="shared" si="14" ref="E49:E56">I34/(V*roo(C49)*cp(C49))</f>
        <v>0.005964338334651398</v>
      </c>
      <c r="G49" s="82">
        <f>D49*60</f>
        <v>0.2</v>
      </c>
      <c r="H49" s="82">
        <f>D49*600</f>
        <v>2</v>
      </c>
      <c r="I49" s="82">
        <f>D49*3600</f>
        <v>12</v>
      </c>
    </row>
    <row r="50" spans="1:9" ht="11.25">
      <c r="A50" s="68">
        <f aca="true" t="shared" si="15" ref="A50:A56">A49+1</f>
        <v>2</v>
      </c>
      <c r="B50" s="84">
        <v>600</v>
      </c>
      <c r="C50" s="79">
        <v>10</v>
      </c>
      <c r="D50" s="81">
        <f aca="true" t="shared" si="16" ref="D50:D56">(C50-C49)/(B50-B49)</f>
        <v>0.0033333333333333335</v>
      </c>
      <c r="E50" s="73">
        <f t="shared" si="14"/>
        <v>0.006086461106741883</v>
      </c>
      <c r="G50" s="82">
        <f aca="true" t="shared" si="17" ref="G50:G56">D50*60</f>
        <v>0.2</v>
      </c>
      <c r="H50" s="82">
        <f aca="true" t="shared" si="18" ref="H50:H56">D50*600</f>
        <v>2</v>
      </c>
      <c r="I50" s="82">
        <f aca="true" t="shared" si="19" ref="I50:I56">D50*3600</f>
        <v>12</v>
      </c>
    </row>
    <row r="51" spans="1:9" ht="11.25">
      <c r="A51" s="68">
        <f t="shared" si="15"/>
        <v>3</v>
      </c>
      <c r="B51" s="84">
        <v>900</v>
      </c>
      <c r="C51" s="79">
        <v>11</v>
      </c>
      <c r="D51" s="81">
        <f t="shared" si="16"/>
        <v>0.0033333333333333335</v>
      </c>
      <c r="E51" s="73">
        <f t="shared" si="14"/>
        <v>0.0062088888251928135</v>
      </c>
      <c r="G51" s="82">
        <f t="shared" si="17"/>
        <v>0.2</v>
      </c>
      <c r="H51" s="82">
        <f t="shared" si="18"/>
        <v>2</v>
      </c>
      <c r="I51" s="82">
        <f t="shared" si="19"/>
        <v>12</v>
      </c>
    </row>
    <row r="52" spans="1:9" ht="11.25">
      <c r="A52" s="68">
        <f t="shared" si="15"/>
        <v>4</v>
      </c>
      <c r="B52" s="84">
        <v>1200</v>
      </c>
      <c r="C52" s="79">
        <v>12</v>
      </c>
      <c r="D52" s="81">
        <f t="shared" si="16"/>
        <v>0.0033333333333333335</v>
      </c>
      <c r="E52" s="73">
        <f t="shared" si="14"/>
        <v>0.006331694311944972</v>
      </c>
      <c r="G52" s="82">
        <f t="shared" si="17"/>
        <v>0.2</v>
      </c>
      <c r="H52" s="82">
        <f t="shared" si="18"/>
        <v>2</v>
      </c>
      <c r="I52" s="82">
        <f t="shared" si="19"/>
        <v>12</v>
      </c>
    </row>
    <row r="53" spans="1:9" ht="11.25">
      <c r="A53" s="68">
        <f t="shared" si="15"/>
        <v>5</v>
      </c>
      <c r="B53" s="84">
        <v>1500</v>
      </c>
      <c r="C53" s="79">
        <v>13</v>
      </c>
      <c r="D53" s="81">
        <f t="shared" si="16"/>
        <v>0.0033333333333333335</v>
      </c>
      <c r="E53" s="73">
        <f t="shared" si="14"/>
        <v>0.006454948896717984</v>
      </c>
      <c r="G53" s="82">
        <f t="shared" si="17"/>
        <v>0.2</v>
      </c>
      <c r="H53" s="82">
        <f t="shared" si="18"/>
        <v>2</v>
      </c>
      <c r="I53" s="82">
        <f t="shared" si="19"/>
        <v>12</v>
      </c>
    </row>
    <row r="54" spans="1:9" ht="11.25">
      <c r="A54" s="68">
        <f t="shared" si="15"/>
        <v>6</v>
      </c>
      <c r="B54" s="84">
        <v>1800</v>
      </c>
      <c r="C54" s="79">
        <v>14</v>
      </c>
      <c r="D54" s="81">
        <f t="shared" si="16"/>
        <v>0.0033333333333333335</v>
      </c>
      <c r="E54" s="73">
        <f t="shared" si="14"/>
        <v>0.006578722803192505</v>
      </c>
      <c r="G54" s="82">
        <f t="shared" si="17"/>
        <v>0.2</v>
      </c>
      <c r="H54" s="82">
        <f t="shared" si="18"/>
        <v>2</v>
      </c>
      <c r="I54" s="82">
        <f t="shared" si="19"/>
        <v>12</v>
      </c>
    </row>
    <row r="55" spans="1:9" ht="11.25">
      <c r="A55" s="68">
        <f t="shared" si="15"/>
        <v>7</v>
      </c>
      <c r="B55" s="84">
        <v>2100</v>
      </c>
      <c r="C55" s="79">
        <v>15</v>
      </c>
      <c r="D55" s="81">
        <f t="shared" si="16"/>
        <v>0.0033333333333333335</v>
      </c>
      <c r="E55" s="73">
        <f t="shared" si="14"/>
        <v>0.006703085408288055</v>
      </c>
      <c r="G55" s="82">
        <f t="shared" si="17"/>
        <v>0.2</v>
      </c>
      <c r="H55" s="82">
        <f t="shared" si="18"/>
        <v>2</v>
      </c>
      <c r="I55" s="82">
        <f t="shared" si="19"/>
        <v>12</v>
      </c>
    </row>
    <row r="56" spans="1:9" ht="11.25">
      <c r="A56" s="68">
        <f t="shared" si="15"/>
        <v>8</v>
      </c>
      <c r="B56" s="84">
        <v>2400</v>
      </c>
      <c r="C56" s="79">
        <v>16</v>
      </c>
      <c r="D56" s="81">
        <f t="shared" si="16"/>
        <v>0.0033333333333333335</v>
      </c>
      <c r="E56" s="73">
        <f t="shared" si="14"/>
        <v>0.006828105430930805</v>
      </c>
      <c r="G56" s="82">
        <f t="shared" si="17"/>
        <v>0.2</v>
      </c>
      <c r="H56" s="82">
        <f t="shared" si="18"/>
        <v>2</v>
      </c>
      <c r="I56" s="82">
        <f t="shared" si="19"/>
        <v>12</v>
      </c>
    </row>
  </sheetData>
  <sheetProtection sheet="1" objects="1" scenarios="1"/>
  <printOptions gridLines="1"/>
  <pageMargins left="0.984251968503937" right="0.5905511811023623" top="0.5905511811023623" bottom="0.7874015748031497" header="0" footer="0.5905511811023623"/>
  <pageSetup horizontalDpi="300" verticalDpi="300" orientation="portrait" paperSize="9" r:id="rId1"/>
  <headerFooter alignWithMargins="0">
    <oddFooter>&amp;CFile: &amp;F     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villesuntio</cp:lastModifiedBy>
  <cp:lastPrinted>2002-09-22T08:33:37Z</cp:lastPrinted>
  <dcterms:created xsi:type="dcterms:W3CDTF">1999-09-29T07:25:04Z</dcterms:created>
  <dcterms:modified xsi:type="dcterms:W3CDTF">2005-05-04T12:24:40Z</dcterms:modified>
  <cp:category/>
  <cp:version/>
  <cp:contentType/>
  <cp:contentStatus/>
</cp:coreProperties>
</file>