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90" windowHeight="4875" activeTab="5"/>
  </bookViews>
  <sheets>
    <sheet name="syottokoe" sheetId="1" r:id="rId1"/>
    <sheet name="Feed rota" sheetId="2" r:id="rId2"/>
    <sheet name="Bottoms rota" sheetId="3" r:id="rId3"/>
    <sheet name="Distillate rota" sheetId="4" r:id="rId4"/>
    <sheet name="palautusrota" sheetId="5" r:id="rId5"/>
    <sheet name="kuvat" sheetId="6" r:id="rId6"/>
    <sheet name="lampomittari" sheetId="7" r:id="rId7"/>
  </sheets>
  <definedNames>
    <definedName name="solver_adj" localSheetId="0" hidden="1">'syottokoe'!$B$42:$D$42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'syottokoe'!$G$44</definedName>
    <definedName name="solver_lhs2" localSheetId="0" hidden="1">'syottokoe'!$G$46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'syottokoe'!$G$42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<sst xmlns="http://schemas.openxmlformats.org/spreadsheetml/2006/main" count="193" uniqueCount="120">
  <si>
    <t>astia</t>
  </si>
  <si>
    <t>astia+liuos</t>
  </si>
  <si>
    <t>liuos</t>
  </si>
  <si>
    <t>grammaa</t>
  </si>
  <si>
    <t>aika/s</t>
  </si>
  <si>
    <t>massavirta</t>
  </si>
  <si>
    <t>lukema/%</t>
  </si>
  <si>
    <t>syoton tiheys</t>
  </si>
  <si>
    <t>tilavuus</t>
  </si>
  <si>
    <t>Koska ikivanha lämpömittari meni rikki, laitoin tilalle uudemman</t>
  </si>
  <si>
    <t xml:space="preserve">lämpömittarin. </t>
  </si>
  <si>
    <t>.</t>
  </si>
  <si>
    <t>T/C, näyttämä</t>
  </si>
  <si>
    <t>T/C, calibr.</t>
  </si>
  <si>
    <t>Frontek</t>
  </si>
  <si>
    <t>Findip</t>
  </si>
  <si>
    <t>T2-3</t>
  </si>
  <si>
    <t>korjaus</t>
  </si>
  <si>
    <t>T/C, korjaus</t>
  </si>
  <si>
    <t>Kalibrointikäyrä Frontek:in kanssa (valm. nro. 1311601), (anturin nro. T2-3)</t>
  </si>
  <si>
    <t>Findip lämpömittari, kanava 3</t>
  </si>
  <si>
    <t>rotametrien lukemat syottokokeessa</t>
  </si>
  <si>
    <t>syotto</t>
  </si>
  <si>
    <t>lukema-%</t>
  </si>
  <si>
    <t>tisle</t>
  </si>
  <si>
    <t>alite</t>
  </si>
  <si>
    <t>kk</t>
  </si>
  <si>
    <t>lkp</t>
  </si>
  <si>
    <t>massavirta/g/s</t>
  </si>
  <si>
    <t>taitekerroin</t>
  </si>
  <si>
    <t>mooliosuus</t>
  </si>
  <si>
    <t>metanoli</t>
  </si>
  <si>
    <t>vesi</t>
  </si>
  <si>
    <t>moolimassa/g/mol</t>
  </si>
  <si>
    <t>moolivirta/mol/s</t>
  </si>
  <si>
    <t>Täsmätyt taseet</t>
  </si>
  <si>
    <t>Aineensiirtosuhde</t>
  </si>
  <si>
    <t>i(A)</t>
  </si>
  <si>
    <t>i(B)</t>
  </si>
  <si>
    <t>I(A)</t>
  </si>
  <si>
    <t>I(B)</t>
  </si>
  <si>
    <t>z</t>
  </si>
  <si>
    <t>Käyttöviiva</t>
  </si>
  <si>
    <t>lauhtumislämpö</t>
  </si>
  <si>
    <t>lauhteen m/g/s</t>
  </si>
  <si>
    <t>energia</t>
  </si>
  <si>
    <t>pohjatuotteen entalpia</t>
  </si>
  <si>
    <t>höyry</t>
  </si>
  <si>
    <t>neste</t>
  </si>
  <si>
    <t>Lb</t>
  </si>
  <si>
    <t>Vb</t>
  </si>
  <si>
    <t>B</t>
  </si>
  <si>
    <t>B*xB</t>
  </si>
  <si>
    <t>Vb*yB</t>
  </si>
  <si>
    <t>xb</t>
  </si>
  <si>
    <t>Lb*xb</t>
  </si>
  <si>
    <t>fii</t>
  </si>
  <si>
    <t>Vb*Ib</t>
  </si>
  <si>
    <t>Lb*ib</t>
  </si>
  <si>
    <t>B*iB</t>
  </si>
  <si>
    <t>lauhteen n/mol/s</t>
  </si>
  <si>
    <t>taseet</t>
  </si>
  <si>
    <t>x</t>
  </si>
  <si>
    <t>L</t>
  </si>
  <si>
    <t>V</t>
  </si>
  <si>
    <t>y</t>
  </si>
  <si>
    <t>alfa</t>
  </si>
  <si>
    <t>y*</t>
  </si>
  <si>
    <t>diagonal</t>
  </si>
  <si>
    <t>ya</t>
  </si>
  <si>
    <t>xa</t>
  </si>
  <si>
    <t>L/V</t>
  </si>
  <si>
    <t>palautus</t>
  </si>
  <si>
    <t>aineensiirtokerroin kaasufaasille</t>
  </si>
  <si>
    <t>tiheys/kg/m3</t>
  </si>
  <si>
    <t>viskositeetti/kg/m/s</t>
  </si>
  <si>
    <t>diffuusiok/m2/s</t>
  </si>
  <si>
    <t>tilavuusvirta/m3/s</t>
  </si>
  <si>
    <t>lin. nopeus/m/s</t>
  </si>
  <si>
    <t>a/m2/m3</t>
  </si>
  <si>
    <t>T/K</t>
  </si>
  <si>
    <t>p/Pa</t>
  </si>
  <si>
    <t>d,kolonni</t>
  </si>
  <si>
    <t>A,kolonni</t>
  </si>
  <si>
    <t>m2</t>
  </si>
  <si>
    <t>m</t>
  </si>
  <si>
    <t>Sc-luku</t>
  </si>
  <si>
    <t>Re-luku</t>
  </si>
  <si>
    <t>dpakkaus</t>
  </si>
  <si>
    <t>aineensiirtokerroin nestefaasille</t>
  </si>
  <si>
    <t>suht.nop.kerr.</t>
  </si>
  <si>
    <t>Hy</t>
  </si>
  <si>
    <t>k'y/m/s</t>
  </si>
  <si>
    <t>Hx</t>
  </si>
  <si>
    <t>k'x/m/s</t>
  </si>
  <si>
    <t>xi</t>
  </si>
  <si>
    <t>yi</t>
  </si>
  <si>
    <t>kx/ky</t>
  </si>
  <si>
    <t>(y-yi)/(x-xi)</t>
  </si>
  <si>
    <t xml:space="preserve"> -kx/ky</t>
  </si>
  <si>
    <t>error</t>
  </si>
  <si>
    <t>z/(abs(x-xi)*(z-x))</t>
  </si>
  <si>
    <t>dx</t>
  </si>
  <si>
    <t>alaosa</t>
  </si>
  <si>
    <t>yläosa</t>
  </si>
  <si>
    <t>integral</t>
  </si>
  <si>
    <t>z/(abs(y-yi)*(z-y))</t>
  </si>
  <si>
    <t>dy</t>
  </si>
  <si>
    <t>h=Hy*Ny</t>
  </si>
  <si>
    <t>h=Hx*Nx</t>
  </si>
  <si>
    <t>Ny</t>
  </si>
  <si>
    <t>Nx</t>
  </si>
  <si>
    <t>massavirta/kg/s</t>
  </si>
  <si>
    <t>y-yi</t>
  </si>
  <si>
    <t>syöttö</t>
  </si>
  <si>
    <t>ero</t>
  </si>
  <si>
    <t>%-ero</t>
  </si>
  <si>
    <t>l/min</t>
  </si>
  <si>
    <t>max</t>
  </si>
  <si>
    <t>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</si>
</sst>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"/>
    <numFmt numFmtId="173" formatCode="0.0"/>
    <numFmt numFmtId="174" formatCode="0.000"/>
  </numFmts>
  <fonts count="49">
    <font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sz val="9.25"/>
      <color indexed="8"/>
      <name val="Arial"/>
      <family val="2"/>
    </font>
    <font>
      <b/>
      <vertAlign val="superscript"/>
      <sz val="9.2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TKK:n TKPL-kolonni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1"/>
          <c:w val="0.673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syottokoe!$F$49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syottokoe!$B$51:$B$67</c:f>
              <c:numCache/>
            </c:numRef>
          </c:xVal>
          <c:yVal>
            <c:numRef>
              <c:f>syottokoe!$F$51:$F$67</c:f>
              <c:numCache/>
            </c:numRef>
          </c:yVal>
          <c:smooth val="1"/>
        </c:ser>
        <c:ser>
          <c:idx val="1"/>
          <c:order val="1"/>
          <c:tx>
            <c:strRef>
              <c:f>syottokoe!$H$49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syottokoe!$B$50:$B$67</c:f>
              <c:numCache/>
            </c:numRef>
          </c:xVal>
          <c:yVal>
            <c:numRef>
              <c:f>syottokoe!$H$50:$H$67</c:f>
              <c:numCache/>
            </c:numRef>
          </c:yVal>
          <c:smooth val="1"/>
        </c:ser>
        <c:ser>
          <c:idx val="2"/>
          <c:order val="2"/>
          <c:tx>
            <c:strRef>
              <c:f>syottokoe!$K$41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syottokoe!$J$42:$J$43</c:f>
              <c:numCache/>
            </c:numRef>
          </c:xVal>
          <c:yVal>
            <c:numRef>
              <c:f>syottokoe!$K$42:$K$43</c:f>
              <c:numCache/>
            </c:numRef>
          </c:yVal>
          <c:smooth val="1"/>
        </c:ser>
        <c:ser>
          <c:idx val="3"/>
          <c:order val="3"/>
          <c:tx>
            <c:strRef>
              <c:f>syottokoe!$K$45</c:f>
              <c:strCache>
                <c:ptCount val="1"/>
                <c:pt idx="0">
                  <c:v>ya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syottokoe!$J$46:$J$47</c:f>
              <c:numCache/>
            </c:numRef>
          </c:xVal>
          <c:yVal>
            <c:numRef>
              <c:f>syottokoe!$K$46:$K$47</c:f>
              <c:numCache/>
            </c:numRef>
          </c:yVal>
          <c:smooth val="1"/>
        </c:ser>
        <c:axId val="53535954"/>
        <c:axId val="12061539"/>
      </c:scatterChart>
      <c:valAx>
        <c:axId val="535359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 val="autoZero"/>
        <c:crossBetween val="midCat"/>
        <c:dispUnits/>
      </c:valAx>
      <c:valAx>
        <c:axId val="120615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5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895"/>
          <c:w val="0.215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5325"/>
          <c:w val="0.63925"/>
          <c:h val="0.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lampomittari!$K$3</c:f>
              <c:strCache>
                <c:ptCount val="1"/>
                <c:pt idx="0">
                  <c:v>korjaus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lampomittari!$J$4:$J$7</c:f>
              <c:numCache/>
            </c:numRef>
          </c:xVal>
          <c:yVal>
            <c:numRef>
              <c:f>lampomittari!$K$4:$K$7</c:f>
              <c:numCache/>
            </c:numRef>
          </c:yVal>
          <c:smooth val="1"/>
        </c:ser>
        <c:axId val="38368332"/>
        <c:axId val="9770669"/>
      </c:scatterChart>
      <c:val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 val="autoZero"/>
        <c:crossBetween val="midCat"/>
        <c:dispUnits/>
      </c:valAx>
      <c:valAx>
        <c:axId val="977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4495"/>
          <c:w val="0.302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Findip lämpömittari.
todellinen lämpötila = lukema + korjaus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1375"/>
          <c:w val="0.88475"/>
          <c:h val="0.6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lampomittari!$E$10</c:f>
              <c:strCache>
                <c:ptCount val="1"/>
                <c:pt idx="0">
                  <c:v>T/C, korjaus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lampomittari!$D$11:$D$18</c:f>
              <c:numCache/>
            </c:numRef>
          </c:xVal>
          <c:yVal>
            <c:numRef>
              <c:f>lampomittari!$E$11:$E$18</c:f>
              <c:numCache/>
            </c:numRef>
          </c:yVal>
          <c:smooth val="1"/>
        </c:ser>
        <c:axId val="20827158"/>
        <c:axId val="53226695"/>
      </c:scatterChart>
      <c:val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C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26695"/>
        <c:crosses val="autoZero"/>
        <c:crossBetween val="midCat"/>
        <c:dispUnits/>
      </c:val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korjaus / C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/>
            </c:numRef>
          </c:xVal>
          <c:yVal>
            <c:numRef>
              <c:f>'Feed rota'!$G$6:$G$8</c:f>
              <c:numCache/>
            </c:numRef>
          </c:yVal>
          <c:smooth val="1"/>
        </c:ser>
        <c:axId val="41444988"/>
        <c:axId val="37460573"/>
      </c:scatterChart>
      <c:valAx>
        <c:axId val="41444988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 val="autoZero"/>
        <c:crossBetween val="midCat"/>
        <c:dispUnits/>
        <c:majorUnit val="5"/>
        <c:minorUnit val="5"/>
      </c:valAx>
      <c:valAx>
        <c:axId val="3746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g/s</a:t>
                </a:r>
              </a:p>
            </c:rich>
          </c:tx>
          <c:layout>
            <c:manualLayout>
              <c:xMode val="factor"/>
              <c:yMode val="factor"/>
              <c:x val="0.008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4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/>
            </c:numRef>
          </c:xVal>
          <c:yVal>
            <c:numRef>
              <c:f>'Bottoms rota'!$G$6:$G$11</c:f>
              <c:numCache/>
            </c:numRef>
          </c:yVal>
          <c:smooth val="1"/>
        </c:ser>
        <c:axId val="1600838"/>
        <c:axId val="14407543"/>
      </c:scatterChart>
      <c:valAx>
        <c:axId val="1600838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543"/>
        <c:crosses val="autoZero"/>
        <c:crossBetween val="midCat"/>
        <c:dispUnits/>
        <c:majorUnit val="1"/>
        <c:minorUnit val="1"/>
      </c:valAx>
      <c:valAx>
        <c:axId val="14407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/ g/s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/>
            </c:numRef>
          </c:xVal>
          <c:yVal>
            <c:numRef>
              <c:f>'Distillate rota'!$G$7:$G$13</c:f>
              <c:numCache/>
            </c:numRef>
          </c:yVal>
          <c:smooth val="1"/>
        </c:ser>
        <c:axId val="62559024"/>
        <c:axId val="26160305"/>
      </c:scatterChart>
      <c:valAx>
        <c:axId val="62559024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 val="autoZero"/>
        <c:crossBetween val="midCat"/>
        <c:dispUnits/>
        <c:majorUnit val="1"/>
      </c:valAx>
      <c:valAx>
        <c:axId val="26160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902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/>
            </c:numRef>
          </c:xVal>
          <c:yVal>
            <c:numRef>
              <c:f>palautusrota!$G$6:$G$11</c:f>
              <c:numCache/>
            </c:numRef>
          </c:yVal>
          <c:smooth val="1"/>
        </c:ser>
        <c:axId val="34116154"/>
        <c:axId val="38609931"/>
      </c:scatterChart>
      <c:valAx>
        <c:axId val="34116154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 val="autoZero"/>
        <c:crossBetween val="midCat"/>
        <c:dispUnits/>
        <c:majorUnit val="5"/>
        <c:minorUnit val="5"/>
      </c:val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61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"/>
          <c:w val="0.895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>
                <c:ptCount val="3"/>
                <c:pt idx="0">
                  <c:v>56.5</c:v>
                </c:pt>
                <c:pt idx="1">
                  <c:v>48</c:v>
                </c:pt>
                <c:pt idx="2">
                  <c:v>35</c:v>
                </c:pt>
              </c:numCache>
            </c:numRef>
          </c:xVal>
          <c:yVal>
            <c:numRef>
              <c:f>'Feed rota'!$G$6:$G$8</c:f>
              <c:numCache>
                <c:ptCount val="3"/>
                <c:pt idx="0">
                  <c:v>6.866666666666666</c:v>
                </c:pt>
                <c:pt idx="1">
                  <c:v>5.7894736842105265</c:v>
                </c:pt>
                <c:pt idx="2">
                  <c:v>4.307017543859649</c:v>
                </c:pt>
              </c:numCache>
            </c:numRef>
          </c:yVal>
          <c:smooth val="1"/>
        </c:ser>
        <c:axId val="11945060"/>
        <c:axId val="40396677"/>
      </c:scatterChart>
      <c:valAx>
        <c:axId val="11945060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 val="autoZero"/>
        <c:crossBetween val="midCat"/>
        <c:dispUnits/>
        <c:majorUnit val="5"/>
        <c:minorUnit val="5"/>
      </c:val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675"/>
          <c:w val="0.8955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5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palautusrota!$G$6:$G$11</c:f>
              <c:numCache>
                <c:ptCount val="6"/>
                <c:pt idx="0">
                  <c:v>2.377581120943953</c:v>
                </c:pt>
                <c:pt idx="1">
                  <c:v>3.606425702811245</c:v>
                </c:pt>
                <c:pt idx="2">
                  <c:v>4.80327868852459</c:v>
                </c:pt>
                <c:pt idx="3">
                  <c:v>6.005952380952381</c:v>
                </c:pt>
                <c:pt idx="4">
                  <c:v>7.3023255813953485</c:v>
                </c:pt>
                <c:pt idx="5">
                  <c:v>8.534883720930232</c:v>
                </c:pt>
              </c:numCache>
            </c:numRef>
          </c:yVal>
          <c:smooth val="1"/>
        </c:ser>
        <c:axId val="28025774"/>
        <c:axId val="50905375"/>
      </c:scatterChart>
      <c:valAx>
        <c:axId val="28025774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 val="autoZero"/>
        <c:crossBetween val="midCat"/>
        <c:dispUnits/>
        <c:majorUnit val="5"/>
        <c:minorUnit val="5"/>
      </c:val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g/s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075"/>
          <c:w val="0.898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2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>
                <c:ptCount val="7"/>
                <c:pt idx="0">
                  <c:v>19.4</c:v>
                </c:pt>
                <c:pt idx="1">
                  <c:v>13.5</c:v>
                </c:pt>
                <c:pt idx="2">
                  <c:v>15.5</c:v>
                </c:pt>
                <c:pt idx="3">
                  <c:v>18.5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</c:numCache>
            </c:numRef>
          </c:xVal>
          <c:yVal>
            <c:numRef>
              <c:f>'Distillate rota'!$G$7:$G$13</c:f>
              <c:numCache>
                <c:ptCount val="7"/>
                <c:pt idx="0">
                  <c:v>1.144927536231884</c:v>
                </c:pt>
                <c:pt idx="1">
                  <c:v>0.75</c:v>
                </c:pt>
                <c:pt idx="2">
                  <c:v>0.9090909090909091</c:v>
                </c:pt>
                <c:pt idx="3">
                  <c:v>1.1785714285714286</c:v>
                </c:pt>
                <c:pt idx="4">
                  <c:v>0.4682926829268293</c:v>
                </c:pt>
                <c:pt idx="5">
                  <c:v>0.23346303501945526</c:v>
                </c:pt>
                <c:pt idx="6">
                  <c:v>0.07083333333333333</c:v>
                </c:pt>
              </c:numCache>
            </c:numRef>
          </c:yVal>
          <c:smooth val="1"/>
        </c:ser>
        <c:axId val="55495192"/>
        <c:axId val="29694681"/>
      </c:scatterChart>
      <c:valAx>
        <c:axId val="55495192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681"/>
        <c:crosses val="autoZero"/>
        <c:crossBetween val="midCat"/>
        <c:dispUnits/>
        <c:majorUnit val="1"/>
      </c:valAx>
      <c:valAx>
        <c:axId val="296946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6"/>
          <c:w val="0.8957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>
                <c:ptCount val="6"/>
                <c:pt idx="0">
                  <c:v>12.5</c:v>
                </c:pt>
                <c:pt idx="1">
                  <c:v>8.8</c:v>
                </c:pt>
                <c:pt idx="2">
                  <c:v>5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</c:numCache>
            </c:numRef>
          </c:xVal>
          <c:yVal>
            <c:numRef>
              <c:f>'Bottoms rota'!$G$6:$G$11</c:f>
              <c:numCache>
                <c:ptCount val="6"/>
                <c:pt idx="0">
                  <c:v>5.470588235294118</c:v>
                </c:pt>
                <c:pt idx="1">
                  <c:v>3.764705882352941</c:v>
                </c:pt>
                <c:pt idx="2">
                  <c:v>1.323404255319149</c:v>
                </c:pt>
                <c:pt idx="3">
                  <c:v>6.228070175438597</c:v>
                </c:pt>
                <c:pt idx="4">
                  <c:v>7.196078431372549</c:v>
                </c:pt>
                <c:pt idx="5">
                  <c:v>3.5142857142857142</c:v>
                </c:pt>
              </c:numCache>
            </c:numRef>
          </c:yVal>
          <c:smooth val="1"/>
        </c:ser>
        <c:axId val="65925538"/>
        <c:axId val="56458931"/>
      </c:scatterChart>
      <c:valAx>
        <c:axId val="65925538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crossBetween val="midCat"/>
        <c:dispUnits/>
        <c:majorUnit val="1"/>
        <c:minorUnit val="1"/>
      </c:val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5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69</xdr:row>
      <xdr:rowOff>104775</xdr:rowOff>
    </xdr:from>
    <xdr:to>
      <xdr:col>15</xdr:col>
      <xdr:colOff>104775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6924675" y="11277600"/>
        <a:ext cx="4286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7</xdr:col>
      <xdr:colOff>219075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47675" y="17716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47625</xdr:rowOff>
    </xdr:from>
    <xdr:to>
      <xdr:col>7</xdr:col>
      <xdr:colOff>428625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657225" y="3933825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85725</xdr:rowOff>
    </xdr:from>
    <xdr:to>
      <xdr:col>7</xdr:col>
      <xdr:colOff>276225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04825" y="41338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27</xdr:row>
      <xdr:rowOff>85725</xdr:rowOff>
    </xdr:from>
    <xdr:to>
      <xdr:col>7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95300" y="445770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114300</xdr:rowOff>
    </xdr:from>
    <xdr:to>
      <xdr:col>6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6675" y="2705100"/>
        <a:ext cx="4095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6</xdr:col>
      <xdr:colOff>504825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66675" y="76200"/>
        <a:ext cx="4095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76200</xdr:rowOff>
    </xdr:from>
    <xdr:to>
      <xdr:col>13</xdr:col>
      <xdr:colOff>438150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4257675" y="76200"/>
        <a:ext cx="4105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95250</xdr:rowOff>
    </xdr:from>
    <xdr:to>
      <xdr:col>13</xdr:col>
      <xdr:colOff>447675</xdr:colOff>
      <xdr:row>33</xdr:row>
      <xdr:rowOff>114300</xdr:rowOff>
    </xdr:to>
    <xdr:graphicFrame>
      <xdr:nvGraphicFramePr>
        <xdr:cNvPr id="4" name="Chart 4"/>
        <xdr:cNvGraphicFramePr/>
      </xdr:nvGraphicFramePr>
      <xdr:xfrm>
        <a:off x="4267200" y="2686050"/>
        <a:ext cx="41052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152400</xdr:rowOff>
    </xdr:from>
    <xdr:to>
      <xdr:col>14</xdr:col>
      <xdr:colOff>561975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562600" y="1609725"/>
        <a:ext cx="4124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6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19125" y="3086100"/>
        <a:ext cx="4219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6.28125" style="3" bestFit="1" customWidth="1"/>
    <col min="2" max="2" width="11.421875" style="3" bestFit="1" customWidth="1"/>
    <col min="3" max="3" width="9.57421875" style="3" bestFit="1" customWidth="1"/>
    <col min="4" max="4" width="12.421875" style="3" bestFit="1" customWidth="1"/>
    <col min="5" max="5" width="9.421875" style="3" bestFit="1" customWidth="1"/>
    <col min="6" max="6" width="15.57421875" style="3" customWidth="1"/>
    <col min="7" max="7" width="11.57421875" style="3" customWidth="1"/>
    <col min="8" max="8" width="12.421875" style="3" bestFit="1" customWidth="1"/>
    <col min="9" max="9" width="9.140625" style="3" customWidth="1"/>
    <col min="10" max="11" width="9.421875" style="3" bestFit="1" customWidth="1"/>
    <col min="12" max="13" width="9.140625" style="3" customWidth="1"/>
    <col min="14" max="14" width="12.421875" style="3" bestFit="1" customWidth="1"/>
    <col min="15" max="16384" width="9.140625" style="3" customWidth="1"/>
  </cols>
  <sheetData>
    <row r="2" spans="1:2" ht="12.75">
      <c r="A2" s="3" t="s">
        <v>31</v>
      </c>
      <c r="B2" s="3">
        <v>32</v>
      </c>
    </row>
    <row r="3" spans="1:2" ht="12.75">
      <c r="A3" s="3" t="s">
        <v>32</v>
      </c>
      <c r="B3" s="3">
        <v>18</v>
      </c>
    </row>
    <row r="6" ht="12.75">
      <c r="B6" s="3" t="s">
        <v>21</v>
      </c>
    </row>
    <row r="8" spans="2:5" ht="12.75">
      <c r="B8" s="3" t="s">
        <v>22</v>
      </c>
      <c r="C8" s="3" t="s">
        <v>24</v>
      </c>
      <c r="D8" s="3" t="s">
        <v>25</v>
      </c>
      <c r="E8" s="3" t="s">
        <v>72</v>
      </c>
    </row>
    <row r="9" spans="1:5" ht="12.75">
      <c r="A9" s="3" t="s">
        <v>23</v>
      </c>
      <c r="B9" s="3">
        <v>32</v>
      </c>
      <c r="C9" s="3">
        <v>4</v>
      </c>
      <c r="D9" s="3">
        <v>8.4</v>
      </c>
      <c r="E9" s="3">
        <v>21</v>
      </c>
    </row>
    <row r="10" spans="1:5" ht="12.75">
      <c r="A10" s="3" t="s">
        <v>26</v>
      </c>
      <c r="B10" s="3">
        <v>0.1186</v>
      </c>
      <c r="C10" s="3">
        <v>0.0747</v>
      </c>
      <c r="D10" s="3">
        <v>0.4833</v>
      </c>
      <c r="E10" s="3">
        <v>0.1231</v>
      </c>
    </row>
    <row r="11" spans="1:5" ht="12.75">
      <c r="A11" s="3" t="s">
        <v>27</v>
      </c>
      <c r="B11" s="3">
        <v>0.1378</v>
      </c>
      <c r="C11" s="3">
        <v>-0.2591</v>
      </c>
      <c r="D11" s="3">
        <v>-0.919</v>
      </c>
      <c r="E11" s="3">
        <v>-0.1</v>
      </c>
    </row>
    <row r="12" spans="1:8" ht="12.75">
      <c r="A12" s="3" t="s">
        <v>28</v>
      </c>
      <c r="B12" s="3">
        <f>B10*B9+B11</f>
        <v>3.933</v>
      </c>
      <c r="C12" s="3">
        <f>C10*C9+C11</f>
        <v>0.03970000000000001</v>
      </c>
      <c r="D12" s="3">
        <f>D10*D9+D11</f>
        <v>3.1407200000000004</v>
      </c>
      <c r="E12" s="3">
        <f>E10*E9+E11</f>
        <v>2.4851</v>
      </c>
      <c r="G12" s="3">
        <f>B12+E12</f>
        <v>6.4181</v>
      </c>
      <c r="H12" s="3">
        <f>C12+D12</f>
        <v>3.1804200000000002</v>
      </c>
    </row>
    <row r="13" ht="12.75">
      <c r="G13" s="3">
        <v>4.5</v>
      </c>
    </row>
    <row r="14" spans="1:5" ht="12.75">
      <c r="A14" s="3" t="s">
        <v>29</v>
      </c>
      <c r="B14" s="3">
        <v>1.334</v>
      </c>
      <c r="C14" s="3">
        <v>1.342</v>
      </c>
      <c r="D14" s="3">
        <v>1.334</v>
      </c>
      <c r="E14" s="3">
        <v>1.342</v>
      </c>
    </row>
    <row r="15" spans="1:5" ht="12.75">
      <c r="A15" s="3" t="s">
        <v>30</v>
      </c>
      <c r="B15" s="3">
        <v>0.02</v>
      </c>
      <c r="C15" s="3">
        <v>0.245</v>
      </c>
      <c r="D15" s="3">
        <v>0.02</v>
      </c>
      <c r="E15" s="3">
        <v>0.245</v>
      </c>
    </row>
    <row r="16" spans="1:5" ht="12.75">
      <c r="A16" s="3" t="s">
        <v>33</v>
      </c>
      <c r="B16" s="3">
        <f>$B$2*B15+(1-B15)*$B$3</f>
        <v>18.28</v>
      </c>
      <c r="C16" s="3">
        <f>$B$2*C15+(1-C15)*$B$3</f>
        <v>21.43</v>
      </c>
      <c r="D16" s="3">
        <f>$B$2*D15+(1-D15)*$B$3</f>
        <v>18.28</v>
      </c>
      <c r="E16" s="3">
        <f>$B$2*E15+(1-E15)*$B$3</f>
        <v>21.43</v>
      </c>
    </row>
    <row r="17" spans="7:12" ht="12.75">
      <c r="G17" s="3" t="s">
        <v>114</v>
      </c>
      <c r="H17" s="3" t="s">
        <v>24</v>
      </c>
      <c r="I17" s="3" t="s">
        <v>25</v>
      </c>
      <c r="K17" s="3" t="s">
        <v>115</v>
      </c>
      <c r="L17" s="3" t="s">
        <v>116</v>
      </c>
    </row>
    <row r="18" spans="1:12" ht="12.75">
      <c r="A18" s="3" t="s">
        <v>34</v>
      </c>
      <c r="B18" s="3">
        <f>B12/B16</f>
        <v>0.21515317286652078</v>
      </c>
      <c r="C18" s="3">
        <f>C12/C16</f>
        <v>0.0018525431637890814</v>
      </c>
      <c r="D18" s="3">
        <f>D12/D16</f>
        <v>0.1718118161925602</v>
      </c>
      <c r="E18" s="3">
        <f>E12/E16</f>
        <v>0.1159636024265049</v>
      </c>
      <c r="G18" s="3">
        <f>B18+E18</f>
        <v>0.3311167752930257</v>
      </c>
      <c r="H18" s="3">
        <f>C18+E18</f>
        <v>0.11781614559029398</v>
      </c>
      <c r="I18" s="3">
        <f>D18</f>
        <v>0.1718118161925602</v>
      </c>
      <c r="K18" s="3">
        <f>G18-(H18+I18)</f>
        <v>0.04148881351017153</v>
      </c>
      <c r="L18" s="3">
        <f>100*K18/G18</f>
        <v>12.529964231940683</v>
      </c>
    </row>
    <row r="19" spans="2:12" ht="12.75">
      <c r="B19" s="3">
        <f>B18*B15</f>
        <v>0.004303063457330416</v>
      </c>
      <c r="C19" s="3">
        <f>C18*C15</f>
        <v>0.00045387307512832493</v>
      </c>
      <c r="D19" s="3">
        <f>D18*D15</f>
        <v>0.003436236323851204</v>
      </c>
      <c r="E19" s="3">
        <f>E18*E15</f>
        <v>0.0284110825944937</v>
      </c>
      <c r="G19" s="3">
        <f>B19+E19</f>
        <v>0.032714146051824114</v>
      </c>
      <c r="H19" s="3">
        <f>C19+E19</f>
        <v>0.028864955669622026</v>
      </c>
      <c r="I19" s="3">
        <f>D19</f>
        <v>0.003436236323851204</v>
      </c>
      <c r="K19" s="3">
        <f>G19-(H19+I19)</f>
        <v>0.0004129540583508867</v>
      </c>
      <c r="L19" s="3">
        <f>100*K19/G19</f>
        <v>1.262310370861295</v>
      </c>
    </row>
    <row r="20" spans="2:12" ht="12.75">
      <c r="B20" s="3">
        <f>B18*(1-B15)</f>
        <v>0.21085010940919036</v>
      </c>
      <c r="C20" s="3">
        <f>C18*(1-C15)</f>
        <v>0.0013986700886607565</v>
      </c>
      <c r="D20" s="3">
        <f>D18*(1-D15)</f>
        <v>0.168375579868709</v>
      </c>
      <c r="E20" s="3">
        <f>E18*(1-E15)</f>
        <v>0.0875525198320112</v>
      </c>
      <c r="G20" s="3">
        <f>B20+E20</f>
        <v>0.29840262924120153</v>
      </c>
      <c r="H20" s="3">
        <f>C20+E20</f>
        <v>0.08895118992067196</v>
      </c>
      <c r="I20" s="3">
        <f>D20</f>
        <v>0.168375579868709</v>
      </c>
      <c r="K20" s="3">
        <f>G20-(H20+I20)</f>
        <v>0.04107585945182057</v>
      </c>
      <c r="L20" s="3">
        <f>100*K20/G20</f>
        <v>13.76524716161887</v>
      </c>
    </row>
    <row r="21" spans="2:7" ht="12.75">
      <c r="B21" s="3" t="s">
        <v>35</v>
      </c>
      <c r="G21" s="3">
        <f>SUM(G19:G20)</f>
        <v>0.33111677529302563</v>
      </c>
    </row>
    <row r="22" spans="1:7" ht="12.75">
      <c r="A22" s="3" t="s">
        <v>34</v>
      </c>
      <c r="B22" s="3">
        <v>0.303</v>
      </c>
      <c r="C22" s="3">
        <v>0.119</v>
      </c>
      <c r="D22" s="3">
        <v>0.184</v>
      </c>
      <c r="G22" s="3">
        <f>G19/G21</f>
        <v>0.09879942211587846</v>
      </c>
    </row>
    <row r="23" spans="1:4" ht="12.75">
      <c r="A23" s="3" t="s">
        <v>30</v>
      </c>
      <c r="B23" s="3">
        <v>0.104</v>
      </c>
      <c r="C23" s="3">
        <v>0.234</v>
      </c>
      <c r="D23" s="3">
        <v>0.02</v>
      </c>
    </row>
    <row r="25" ht="12.75">
      <c r="B25" s="3" t="s">
        <v>36</v>
      </c>
    </row>
    <row r="26" spans="2:5" ht="12.75">
      <c r="B26" s="3" t="s">
        <v>37</v>
      </c>
      <c r="C26" s="3">
        <v>5.4</v>
      </c>
      <c r="D26" s="3" t="s">
        <v>39</v>
      </c>
      <c r="E26" s="3">
        <v>40.7</v>
      </c>
    </row>
    <row r="27" spans="2:5" ht="12.75">
      <c r="B27" s="3" t="s">
        <v>38</v>
      </c>
      <c r="C27" s="3">
        <v>7.5</v>
      </c>
      <c r="D27" s="3" t="s">
        <v>40</v>
      </c>
      <c r="E27" s="3">
        <v>48.1</v>
      </c>
    </row>
    <row r="29" spans="1:2" ht="12.75">
      <c r="A29" s="3" t="s">
        <v>41</v>
      </c>
      <c r="B29" s="3">
        <f>-(E27-C27)/((E26-E27)-(C26-C27))</f>
        <v>7.6603773584905674</v>
      </c>
    </row>
    <row r="31" ht="12.75">
      <c r="B31" s="3" t="s">
        <v>42</v>
      </c>
    </row>
    <row r="32" spans="1:2" ht="12.75">
      <c r="A32" s="3" t="s">
        <v>44</v>
      </c>
      <c r="B32" s="3">
        <v>4</v>
      </c>
    </row>
    <row r="33" spans="1:2" ht="12.75">
      <c r="A33" s="3" t="s">
        <v>60</v>
      </c>
      <c r="B33" s="3">
        <f>B32/B3</f>
        <v>0.2222222222222222</v>
      </c>
    </row>
    <row r="34" spans="1:2" ht="12.75">
      <c r="A34" s="3" t="s">
        <v>43</v>
      </c>
      <c r="B34" s="3">
        <f>E27-C27</f>
        <v>40.6</v>
      </c>
    </row>
    <row r="35" spans="1:2" ht="12.75">
      <c r="A35" s="3" t="s">
        <v>45</v>
      </c>
      <c r="B35" s="3">
        <f>B33*B34</f>
        <v>9.022222222222222</v>
      </c>
    </row>
    <row r="37" ht="12.75">
      <c r="B37" s="3" t="s">
        <v>46</v>
      </c>
    </row>
    <row r="38" spans="1:2" ht="12.75">
      <c r="A38" s="3" t="s">
        <v>47</v>
      </c>
      <c r="B38" s="3">
        <f>(E26-E27)*D23+E27</f>
        <v>47.952</v>
      </c>
    </row>
    <row r="39" spans="1:2" ht="12.75">
      <c r="A39" s="3" t="s">
        <v>48</v>
      </c>
      <c r="B39" s="3">
        <f>(C26-C27)*D23+C27</f>
        <v>7.458</v>
      </c>
    </row>
    <row r="41" spans="2:11" ht="12.75">
      <c r="B41" s="3" t="s">
        <v>49</v>
      </c>
      <c r="C41" s="3" t="s">
        <v>54</v>
      </c>
      <c r="D41" s="3" t="s">
        <v>50</v>
      </c>
      <c r="E41" s="3" t="s">
        <v>51</v>
      </c>
      <c r="G41" s="3" t="s">
        <v>61</v>
      </c>
      <c r="J41" s="3" t="s">
        <v>62</v>
      </c>
      <c r="K41" s="3" t="s">
        <v>68</v>
      </c>
    </row>
    <row r="42" spans="2:11" ht="12.75">
      <c r="B42" s="4">
        <v>0.4068039270564103</v>
      </c>
      <c r="C42" s="4">
        <v>0.02000000000815998</v>
      </c>
      <c r="D42" s="4">
        <v>0.2228039270564102</v>
      </c>
      <c r="E42" s="3">
        <f>D22</f>
        <v>0.184</v>
      </c>
      <c r="G42" s="3">
        <f>B42-(D42+E42)</f>
        <v>0</v>
      </c>
      <c r="J42" s="3">
        <v>0</v>
      </c>
      <c r="K42" s="3">
        <v>0</v>
      </c>
    </row>
    <row r="43" spans="2:11" ht="12.75">
      <c r="B43" s="3" t="s">
        <v>55</v>
      </c>
      <c r="C43" s="3" t="s">
        <v>53</v>
      </c>
      <c r="D43" s="3" t="s">
        <v>52</v>
      </c>
      <c r="J43" s="3">
        <v>1</v>
      </c>
      <c r="K43" s="3">
        <v>1</v>
      </c>
    </row>
    <row r="44" spans="2:7" ht="12.75">
      <c r="B44" s="3">
        <f>B42*C42</f>
        <v>0.008136078544447718</v>
      </c>
      <c r="C44" s="3">
        <f>D42*D23</f>
        <v>0.004456078541128204</v>
      </c>
      <c r="D44" s="3">
        <f>D22*D23</f>
        <v>0.00368</v>
      </c>
      <c r="G44" s="3">
        <f>B44-(C44+D44)</f>
        <v>3.3195130672014628E-12</v>
      </c>
    </row>
    <row r="45" spans="2:11" ht="12.75">
      <c r="B45" s="3" t="s">
        <v>58</v>
      </c>
      <c r="C45" s="3" t="s">
        <v>56</v>
      </c>
      <c r="D45" s="3" t="s">
        <v>57</v>
      </c>
      <c r="E45" s="3" t="s">
        <v>59</v>
      </c>
      <c r="J45" s="3" t="s">
        <v>70</v>
      </c>
      <c r="K45" s="3" t="s">
        <v>69</v>
      </c>
    </row>
    <row r="46" spans="2:11" ht="12.75">
      <c r="B46" s="3">
        <f>B42*((C26-C27)*C42+C27)</f>
        <v>3.0339436879797366</v>
      </c>
      <c r="C46" s="3">
        <f>B35</f>
        <v>9.022222222222222</v>
      </c>
      <c r="D46" s="3">
        <f>D42*B38</f>
        <v>10.683893910208981</v>
      </c>
      <c r="E46" s="3">
        <f>E42*B39</f>
        <v>1.372272</v>
      </c>
      <c r="G46" s="3">
        <f>B46+C46-(D46+E46)</f>
        <v>-7.02371494298859E-12</v>
      </c>
      <c r="J46" s="3">
        <v>0</v>
      </c>
      <c r="K46" s="3">
        <f>C23</f>
        <v>0.234</v>
      </c>
    </row>
    <row r="47" spans="10:11" ht="12.75">
      <c r="J47" s="3">
        <v>1</v>
      </c>
      <c r="K47" s="3">
        <f>K46</f>
        <v>0.234</v>
      </c>
    </row>
    <row r="48" spans="1:14" ht="12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  <c r="N48" s="3">
        <v>14</v>
      </c>
    </row>
    <row r="49" spans="2:22" ht="12.75">
      <c r="B49" s="3" t="s">
        <v>62</v>
      </c>
      <c r="C49" s="3" t="s">
        <v>63</v>
      </c>
      <c r="D49" s="3" t="s">
        <v>64</v>
      </c>
      <c r="E49" s="3" t="s">
        <v>71</v>
      </c>
      <c r="F49" s="3" t="s">
        <v>65</v>
      </c>
      <c r="G49" s="3" t="s">
        <v>66</v>
      </c>
      <c r="H49" s="3" t="s">
        <v>67</v>
      </c>
      <c r="I49" s="3" t="s">
        <v>95</v>
      </c>
      <c r="J49" s="3" t="s">
        <v>66</v>
      </c>
      <c r="K49" s="3" t="s">
        <v>96</v>
      </c>
      <c r="L49" s="3" t="s">
        <v>98</v>
      </c>
      <c r="M49" s="3" t="s">
        <v>99</v>
      </c>
      <c r="N49" s="3" t="s">
        <v>100</v>
      </c>
      <c r="O49" s="3" t="s">
        <v>106</v>
      </c>
      <c r="P49" s="3" t="s">
        <v>107</v>
      </c>
      <c r="Q49" s="3" t="s">
        <v>105</v>
      </c>
      <c r="R49" s="3" t="s">
        <v>101</v>
      </c>
      <c r="S49" s="3" t="s">
        <v>102</v>
      </c>
      <c r="T49" s="3" t="s">
        <v>105</v>
      </c>
      <c r="V49" s="3" t="s">
        <v>113</v>
      </c>
    </row>
    <row r="50" spans="2:8" ht="12.75">
      <c r="B50" s="3">
        <v>0</v>
      </c>
      <c r="H50" s="3">
        <v>0</v>
      </c>
    </row>
    <row r="51" spans="2:22" ht="12.75">
      <c r="B51" s="3">
        <f>D23</f>
        <v>0.02</v>
      </c>
      <c r="C51" s="3">
        <f>B42</f>
        <v>0.4068039270564103</v>
      </c>
      <c r="D51" s="3">
        <f>D42</f>
        <v>0.2228039270564102</v>
      </c>
      <c r="E51" s="3">
        <f>C51/D51</f>
        <v>1.8258382266009807</v>
      </c>
      <c r="F51" s="3">
        <f>B51*C51/D51-$D$44/D51</f>
        <v>0.020000000000000007</v>
      </c>
      <c r="G51" s="3">
        <f>7.836-12.22*B51+7.749*B51^2</f>
        <v>7.5946996</v>
      </c>
      <c r="H51" s="3">
        <f>G51*B51/(1+(G51-1)*B51)</f>
        <v>0.13419453859951225</v>
      </c>
      <c r="I51" s="3">
        <v>0.002609203757199557</v>
      </c>
      <c r="J51" s="3">
        <f>7.836-12.22*I51+7.749*I51^2</f>
        <v>7.804168284846988</v>
      </c>
      <c r="K51" s="3">
        <f>J51*I51/(1+(J51-1)*I51)</f>
        <v>0.020007463478985098</v>
      </c>
      <c r="L51" s="3">
        <f>(F51-K51)/(B51-I51)</f>
        <v>-0.0004291625800733635</v>
      </c>
      <c r="M51" s="3">
        <f>-D94</f>
        <v>-0.0004291625800745255</v>
      </c>
      <c r="N51" s="3">
        <f>1000000000*(M51-L51)</f>
        <v>-1.1619936783613394E-06</v>
      </c>
      <c r="V51" s="3">
        <f>F51-K51</f>
        <v>-7.463478985090394E-06</v>
      </c>
    </row>
    <row r="52" spans="2:22" ht="12.75">
      <c r="B52" s="3">
        <f>B51+0.03</f>
        <v>0.05</v>
      </c>
      <c r="C52" s="3">
        <f>$B$42*($B$29-$C$42)/($B$29-B52)</f>
        <v>0.4084075423876208</v>
      </c>
      <c r="D52" s="3">
        <f>C52-$E$42</f>
        <v>0.22440754238762078</v>
      </c>
      <c r="E52" s="3">
        <f>C52/D52</f>
        <v>1.8199367901911936</v>
      </c>
      <c r="F52" s="3">
        <f>B52*C52/D52-$D$44/D52</f>
        <v>0.0745981037057358</v>
      </c>
      <c r="G52" s="3">
        <f aca="true" t="shared" si="0" ref="G52:G64">7.836-12.22*B52+7.749*B52^2</f>
        <v>7.244372500000001</v>
      </c>
      <c r="H52" s="3">
        <f aca="true" t="shared" si="1" ref="H52:H64">G52*B52/(1+(G52-1)*B52)</f>
        <v>0.27603527194258504</v>
      </c>
      <c r="I52" s="3">
        <v>0.005089778092079263</v>
      </c>
      <c r="J52" s="3">
        <f aca="true" t="shared" si="2" ref="J52:J64">7.836-12.22*I52+7.749*I52^2</f>
        <v>7.774003656076907</v>
      </c>
      <c r="K52" s="3">
        <f aca="true" t="shared" si="3" ref="K52:K64">J52*I52/(1+(J52-1)*I52)</f>
        <v>0.03824919117406967</v>
      </c>
      <c r="L52" s="3">
        <f>(F52-K52)/(B52-I52)</f>
        <v>0.8093683573016445</v>
      </c>
      <c r="M52" s="3">
        <f aca="true" t="shared" si="4" ref="M52:M64">M51+$D$99</f>
        <v>-0.0004219026103125308</v>
      </c>
      <c r="N52" s="3">
        <f aca="true" t="shared" si="5" ref="N52:N64">1000000000*(M52-L52)</f>
        <v>-809790259.911957</v>
      </c>
      <c r="O52" s="3">
        <f>$B$29/(ABS(F52-K52)*($B$29-F52))</f>
        <v>27.7816823231374</v>
      </c>
      <c r="P52" s="3">
        <f>F52-F51</f>
        <v>0.0545981037057358</v>
      </c>
      <c r="Q52" s="3">
        <f>O52*P52</f>
        <v>1.5168271725984628</v>
      </c>
      <c r="R52" s="3">
        <f>$B$29/(ABS(B52-I52)*($B$29-B52))</f>
        <v>22.412937048296506</v>
      </c>
      <c r="S52" s="3">
        <f>B52-B51</f>
        <v>0.030000000000000002</v>
      </c>
      <c r="T52" s="3">
        <f>R52*S52</f>
        <v>0.6723881114488952</v>
      </c>
      <c r="V52" s="3">
        <f>F52-K52</f>
        <v>0.03634891253166613</v>
      </c>
    </row>
    <row r="53" spans="2:22" ht="12.75">
      <c r="B53" s="3">
        <f aca="true" t="shared" si="6" ref="B53:B64">B52+0.03</f>
        <v>0.08</v>
      </c>
      <c r="C53" s="3">
        <f aca="true" t="shared" si="7" ref="C53:C64">$B$42*($B$29-$C$42)/($B$29-B53)</f>
        <v>0.4100238506124224</v>
      </c>
      <c r="D53" s="3">
        <f>C53-$E$42</f>
        <v>0.22602385061242242</v>
      </c>
      <c r="E53" s="3">
        <f aca="true" t="shared" si="8" ref="E53:E64">C53/D53</f>
        <v>1.8140733798731559</v>
      </c>
      <c r="F53" s="3">
        <f>C53/D53*B53-$D$44/D53</f>
        <v>0.12884440279238935</v>
      </c>
      <c r="G53" s="3">
        <f t="shared" si="0"/>
        <v>6.9079936</v>
      </c>
      <c r="H53" s="3">
        <f t="shared" si="1"/>
        <v>0.3752714038318658</v>
      </c>
      <c r="I53" s="3">
        <v>0.007667826721563427</v>
      </c>
      <c r="J53" s="3">
        <f t="shared" si="2"/>
        <v>7.7427547643083265</v>
      </c>
      <c r="K53" s="3">
        <f t="shared" si="3"/>
        <v>0.05645143429143612</v>
      </c>
      <c r="L53" s="3">
        <f aca="true" t="shared" si="9" ref="L53:L64">(F53-K53)/(B53-I53)</f>
        <v>1.0008405004268657</v>
      </c>
      <c r="M53" s="3">
        <f t="shared" si="4"/>
        <v>-0.0004146426405505361</v>
      </c>
      <c r="N53" s="3">
        <f t="shared" si="5"/>
        <v>-1001255143.0674162</v>
      </c>
      <c r="O53" s="3">
        <f aca="true" t="shared" si="10" ref="O53:O64">$B$29/(ABS(F53-K53)*($B$29-F53))</f>
        <v>14.04980827308505</v>
      </c>
      <c r="P53" s="3">
        <f aca="true" t="shared" si="11" ref="P53:P64">F53-F52</f>
        <v>0.05424629908665354</v>
      </c>
      <c r="Q53" s="3">
        <f aca="true" t="shared" si="12" ref="Q53:Q64">O53*P53</f>
        <v>0.762150101691911</v>
      </c>
      <c r="R53" s="3">
        <f aca="true" t="shared" si="13" ref="R53:R64">$B$29/(ABS(B53-I53)*($B$29-B53))</f>
        <v>13.971010665295022</v>
      </c>
      <c r="S53" s="3">
        <f aca="true" t="shared" si="14" ref="S53:S64">B53-B52</f>
        <v>0.03</v>
      </c>
      <c r="T53" s="3">
        <f aca="true" t="shared" si="15" ref="T53:T64">R53*S53</f>
        <v>0.41913031995885064</v>
      </c>
      <c r="V53" s="3">
        <f aca="true" t="shared" si="16" ref="V53:V64">F53-K53</f>
        <v>0.07239296850095323</v>
      </c>
    </row>
    <row r="54" spans="2:22" ht="12.75">
      <c r="B54" s="3">
        <f t="shared" si="6"/>
        <v>0.11</v>
      </c>
      <c r="C54" s="3">
        <f t="shared" si="7"/>
        <v>0.41165300302882984</v>
      </c>
      <c r="D54" s="3">
        <f>C54-$E$42</f>
        <v>0.22765300302882985</v>
      </c>
      <c r="E54" s="3">
        <f t="shared" si="8"/>
        <v>1.8082476292952672</v>
      </c>
      <c r="F54" s="3">
        <f aca="true" t="shared" si="17" ref="F54:F64">C54/D54*B54-$D$44/D54</f>
        <v>0.18274228663657405</v>
      </c>
      <c r="G54" s="3">
        <f t="shared" si="0"/>
        <v>6.5855629</v>
      </c>
      <c r="H54" s="3">
        <f t="shared" si="1"/>
        <v>0.4487156657321482</v>
      </c>
      <c r="I54" s="3">
        <v>0.010349195158609348</v>
      </c>
      <c r="J54" s="3">
        <f t="shared" si="2"/>
        <v>7.710362798319294</v>
      </c>
      <c r="K54" s="3">
        <f t="shared" si="3"/>
        <v>0.07461431957206272</v>
      </c>
      <c r="L54" s="3">
        <f t="shared" si="9"/>
        <v>1.0850686779360526</v>
      </c>
      <c r="M54" s="3">
        <f t="shared" si="4"/>
        <v>-0.00040738267078854144</v>
      </c>
      <c r="N54" s="3">
        <f t="shared" si="5"/>
        <v>-1085476060.606841</v>
      </c>
      <c r="O54" s="3">
        <f t="shared" si="10"/>
        <v>9.474315863355917</v>
      </c>
      <c r="P54" s="3">
        <f t="shared" si="11"/>
        <v>0.0538978838441847</v>
      </c>
      <c r="Q54" s="3">
        <f t="shared" si="12"/>
        <v>0.5106455759062737</v>
      </c>
      <c r="R54" s="3">
        <f t="shared" si="13"/>
        <v>10.18124048141238</v>
      </c>
      <c r="S54" s="3">
        <f t="shared" si="14"/>
        <v>0.03</v>
      </c>
      <c r="T54" s="3">
        <f t="shared" si="15"/>
        <v>0.3054372144423714</v>
      </c>
      <c r="V54" s="3">
        <f t="shared" si="16"/>
        <v>0.10812796706451133</v>
      </c>
    </row>
    <row r="55" spans="2:22" ht="12.75">
      <c r="B55" s="3">
        <f t="shared" si="6"/>
        <v>0.14</v>
      </c>
      <c r="C55" s="3">
        <f t="shared" si="7"/>
        <v>0.41329515334950784</v>
      </c>
      <c r="D55" s="3">
        <f>C55-$E$42</f>
        <v>0.22929515334950784</v>
      </c>
      <c r="E55" s="3">
        <f t="shared" si="8"/>
        <v>1.8024591767953082</v>
      </c>
      <c r="F55" s="3">
        <f t="shared" si="17"/>
        <v>0.236295101215437</v>
      </c>
      <c r="G55" s="3">
        <f t="shared" si="0"/>
        <v>6.277080399999999</v>
      </c>
      <c r="H55" s="3">
        <f t="shared" si="1"/>
        <v>0.5054035399405068</v>
      </c>
      <c r="I55" s="3">
        <v>0.013140203580279742</v>
      </c>
      <c r="J55" s="3">
        <f t="shared" si="2"/>
        <v>7.676764692947548</v>
      </c>
      <c r="K55" s="3">
        <f t="shared" si="3"/>
        <v>0.0927379731759783</v>
      </c>
      <c r="L55" s="3">
        <f t="shared" si="9"/>
        <v>1.1316203564168956</v>
      </c>
      <c r="M55" s="3">
        <f t="shared" si="4"/>
        <v>-0.00040012270102654675</v>
      </c>
      <c r="N55" s="3">
        <f t="shared" si="5"/>
        <v>-1132020479.1179223</v>
      </c>
      <c r="O55" s="3">
        <f t="shared" si="10"/>
        <v>7.187578939244164</v>
      </c>
      <c r="P55" s="3">
        <f t="shared" si="11"/>
        <v>0.05355281457886296</v>
      </c>
      <c r="Q55" s="3">
        <f t="shared" si="12"/>
        <v>0.3849150822042832</v>
      </c>
      <c r="R55" s="3">
        <f t="shared" si="13"/>
        <v>8.029463359212</v>
      </c>
      <c r="S55" s="3">
        <f t="shared" si="14"/>
        <v>0.030000000000000013</v>
      </c>
      <c r="T55" s="3">
        <f t="shared" si="15"/>
        <v>0.24088390077636013</v>
      </c>
      <c r="V55" s="3">
        <f t="shared" si="16"/>
        <v>0.1435571280394587</v>
      </c>
    </row>
    <row r="56" spans="2:22" ht="12.75">
      <c r="B56" s="3">
        <f t="shared" si="6"/>
        <v>0.17</v>
      </c>
      <c r="C56" s="3">
        <f t="shared" si="7"/>
        <v>0.4149504577496835</v>
      </c>
      <c r="D56" s="3">
        <f aca="true" t="shared" si="18" ref="D56:D64">C56-$E$42</f>
        <v>0.23095045774968348</v>
      </c>
      <c r="E56" s="3">
        <f t="shared" si="8"/>
        <v>1.7967076653272067</v>
      </c>
      <c r="F56" s="3">
        <f t="shared" si="17"/>
        <v>0.289506149799081</v>
      </c>
      <c r="G56" s="3">
        <f t="shared" si="0"/>
        <v>5.9825460999999995</v>
      </c>
      <c r="H56" s="3">
        <f t="shared" si="1"/>
        <v>0.5506306204343892</v>
      </c>
      <c r="I56" s="3">
        <v>0.016047695622831478</v>
      </c>
      <c r="J56" s="3">
        <f t="shared" si="2"/>
        <v>7.641892748105188</v>
      </c>
      <c r="K56" s="3">
        <f t="shared" si="3"/>
        <v>0.11082252068188318</v>
      </c>
      <c r="L56" s="3">
        <f t="shared" si="9"/>
        <v>1.1606427707599614</v>
      </c>
      <c r="M56" s="3">
        <f t="shared" si="4"/>
        <v>-0.00039286273126455207</v>
      </c>
      <c r="N56" s="3">
        <f t="shared" si="5"/>
        <v>-1161035633.491226</v>
      </c>
      <c r="O56" s="3">
        <f t="shared" si="10"/>
        <v>5.8162970217822165</v>
      </c>
      <c r="P56" s="3">
        <f t="shared" si="11"/>
        <v>0.053211048583644005</v>
      </c>
      <c r="Q56" s="3">
        <f t="shared" si="12"/>
        <v>0.30949126340295746</v>
      </c>
      <c r="R56" s="3">
        <f t="shared" si="13"/>
        <v>6.642939122772385</v>
      </c>
      <c r="S56" s="3">
        <f t="shared" si="14"/>
        <v>0.03</v>
      </c>
      <c r="T56" s="3">
        <f t="shared" si="15"/>
        <v>0.19928817368317156</v>
      </c>
      <c r="V56" s="3">
        <f t="shared" si="16"/>
        <v>0.17868362911719782</v>
      </c>
    </row>
    <row r="57" spans="2:22" ht="12.75">
      <c r="B57" s="3">
        <f t="shared" si="6"/>
        <v>0.2</v>
      </c>
      <c r="C57" s="3">
        <f t="shared" si="7"/>
        <v>0.41661907491665867</v>
      </c>
      <c r="D57" s="3">
        <f t="shared" si="18"/>
        <v>0.23261907491665867</v>
      </c>
      <c r="E57" s="3">
        <f t="shared" si="8"/>
        <v>1.790992742387624</v>
      </c>
      <c r="F57" s="3">
        <f t="shared" si="17"/>
        <v>0.3423786936297723</v>
      </c>
      <c r="G57" s="3">
        <f t="shared" si="0"/>
        <v>5.70196</v>
      </c>
      <c r="H57" s="3">
        <f t="shared" si="1"/>
        <v>0.5877121736226495</v>
      </c>
      <c r="I57" s="3">
        <v>0.019079093249157478</v>
      </c>
      <c r="J57" s="3">
        <f t="shared" si="2"/>
        <v>7.6056742079273745</v>
      </c>
      <c r="K57" s="3">
        <f t="shared" si="3"/>
        <v>0.1288680870863614</v>
      </c>
      <c r="L57" s="3">
        <f t="shared" si="9"/>
        <v>1.1801323040982192</v>
      </c>
      <c r="M57" s="3">
        <f t="shared" si="4"/>
        <v>-0.0003856027615025574</v>
      </c>
      <c r="N57" s="3">
        <f t="shared" si="5"/>
        <v>-1180517906.859722</v>
      </c>
      <c r="O57" s="3">
        <f t="shared" si="10"/>
        <v>4.902734595127323</v>
      </c>
      <c r="P57" s="3">
        <f t="shared" si="11"/>
        <v>0.05287254383069129</v>
      </c>
      <c r="Q57" s="3">
        <f t="shared" si="12"/>
        <v>0.2592200497711159</v>
      </c>
      <c r="R57" s="3">
        <f t="shared" si="13"/>
        <v>5.675454063532569</v>
      </c>
      <c r="S57" s="3">
        <f t="shared" si="14"/>
        <v>0.03</v>
      </c>
      <c r="T57" s="3">
        <f t="shared" si="15"/>
        <v>0.17026362190597705</v>
      </c>
      <c r="V57" s="3">
        <f t="shared" si="16"/>
        <v>0.2135106065434109</v>
      </c>
    </row>
    <row r="58" spans="2:22" ht="12.75">
      <c r="B58" s="3">
        <f t="shared" si="6"/>
        <v>0.23</v>
      </c>
      <c r="C58" s="3">
        <f t="shared" si="7"/>
        <v>0.4183011661005227</v>
      </c>
      <c r="D58" s="3">
        <f t="shared" si="18"/>
        <v>0.2343011661005227</v>
      </c>
      <c r="E58" s="3">
        <f t="shared" si="8"/>
        <v>1.785314059943936</v>
      </c>
      <c r="F58" s="3">
        <f t="shared" si="17"/>
        <v>0.3949159525882266</v>
      </c>
      <c r="G58" s="3">
        <f t="shared" si="0"/>
        <v>5.4353221</v>
      </c>
      <c r="H58" s="3">
        <f t="shared" si="1"/>
        <v>0.618835295079248</v>
      </c>
      <c r="I58" s="3">
        <v>0.02224245857277554</v>
      </c>
      <c r="J58" s="3">
        <f t="shared" si="2"/>
        <v>7.568030795479773</v>
      </c>
      <c r="K58" s="3">
        <f t="shared" si="3"/>
        <v>0.1468747968026324</v>
      </c>
      <c r="L58" s="3">
        <f t="shared" si="9"/>
        <v>1.1938972423414083</v>
      </c>
      <c r="M58" s="3">
        <f t="shared" si="4"/>
        <v>-0.0003783427917405627</v>
      </c>
      <c r="N58" s="3">
        <f t="shared" si="5"/>
        <v>-1194275585.133149</v>
      </c>
      <c r="O58" s="3">
        <f t="shared" si="10"/>
        <v>4.250727038079851</v>
      </c>
      <c r="P58" s="3">
        <f t="shared" si="11"/>
        <v>0.05253725895845429</v>
      </c>
      <c r="Q58" s="3">
        <f t="shared" si="12"/>
        <v>0.2233215471613045</v>
      </c>
      <c r="R58" s="3">
        <f t="shared" si="13"/>
        <v>4.96229405813328</v>
      </c>
      <c r="S58" s="3">
        <f t="shared" si="14"/>
        <v>0.03</v>
      </c>
      <c r="T58" s="3">
        <f t="shared" si="15"/>
        <v>0.1488688217439984</v>
      </c>
      <c r="V58" s="3">
        <f t="shared" si="16"/>
        <v>0.2480411557855942</v>
      </c>
    </row>
    <row r="59" spans="2:22" ht="12.75">
      <c r="B59" s="3">
        <f t="shared" si="6"/>
        <v>0.26</v>
      </c>
      <c r="C59" s="3">
        <f t="shared" si="7"/>
        <v>0.4199968951660977</v>
      </c>
      <c r="D59" s="3">
        <f t="shared" si="18"/>
        <v>0.23599689516609768</v>
      </c>
      <c r="E59" s="3">
        <f t="shared" si="8"/>
        <v>1.7796712743635819</v>
      </c>
      <c r="F59" s="3">
        <f t="shared" si="17"/>
        <v>0.4471211058472596</v>
      </c>
      <c r="G59" s="3">
        <f t="shared" si="0"/>
        <v>5.182632399999999</v>
      </c>
      <c r="H59" s="3">
        <f t="shared" si="1"/>
        <v>0.6455063369612956</v>
      </c>
      <c r="I59" s="3">
        <v>0.025546563668771893</v>
      </c>
      <c r="J59" s="3">
        <f t="shared" si="2"/>
        <v>7.528878197934132</v>
      </c>
      <c r="K59" s="3">
        <f t="shared" si="3"/>
        <v>0.16484277365878394</v>
      </c>
      <c r="L59" s="3">
        <f t="shared" si="9"/>
        <v>1.2039846231542628</v>
      </c>
      <c r="M59" s="3">
        <f t="shared" si="4"/>
        <v>-0.000371082821978568</v>
      </c>
      <c r="N59" s="3">
        <f t="shared" si="5"/>
        <v>-1204355705.9762414</v>
      </c>
      <c r="O59" s="3">
        <f t="shared" si="10"/>
        <v>3.762194639652405</v>
      </c>
      <c r="P59" s="3">
        <f t="shared" si="11"/>
        <v>0.05220515325903302</v>
      </c>
      <c r="Q59" s="3">
        <f t="shared" si="12"/>
        <v>0.1964059477533663</v>
      </c>
      <c r="R59" s="3">
        <f t="shared" si="13"/>
        <v>4.415091370506888</v>
      </c>
      <c r="S59" s="3">
        <f t="shared" si="14"/>
        <v>0.03</v>
      </c>
      <c r="T59" s="3">
        <f t="shared" si="15"/>
        <v>0.13245274111520663</v>
      </c>
      <c r="V59" s="3">
        <f t="shared" si="16"/>
        <v>0.28227833218847564</v>
      </c>
    </row>
    <row r="60" spans="2:22" ht="12.75">
      <c r="B60" s="3">
        <f t="shared" si="6"/>
        <v>0.29000000000000004</v>
      </c>
      <c r="C60" s="3">
        <f t="shared" si="7"/>
        <v>0.4217064286461532</v>
      </c>
      <c r="D60" s="3">
        <f t="shared" si="18"/>
        <v>0.2377064286461532</v>
      </c>
      <c r="E60" s="3">
        <f t="shared" si="8"/>
        <v>1.774064046344746</v>
      </c>
      <c r="F60" s="3">
        <f t="shared" si="17"/>
        <v>0.49899729251308145</v>
      </c>
      <c r="G60" s="3">
        <f t="shared" si="0"/>
        <v>4.9438908999999995</v>
      </c>
      <c r="H60" s="3">
        <f t="shared" si="1"/>
        <v>0.6688013216055035</v>
      </c>
      <c r="I60" s="3">
        <v>0.029000969574928797</v>
      </c>
      <c r="J60" s="3">
        <f t="shared" si="2"/>
        <v>7.48812549656935</v>
      </c>
      <c r="K60" s="3">
        <f t="shared" si="3"/>
        <v>0.18277214089541877</v>
      </c>
      <c r="L60" s="3">
        <f t="shared" si="9"/>
        <v>1.2115951201146167</v>
      </c>
      <c r="M60" s="3">
        <f t="shared" si="4"/>
        <v>-0.0003638228522165733</v>
      </c>
      <c r="N60" s="3">
        <f t="shared" si="5"/>
        <v>-1211958942.966833</v>
      </c>
      <c r="O60" s="3">
        <f t="shared" si="10"/>
        <v>3.3826497463525045</v>
      </c>
      <c r="P60" s="3">
        <f t="shared" si="11"/>
        <v>0.05187618666582183</v>
      </c>
      <c r="Q60" s="3">
        <f t="shared" si="12"/>
        <v>0.1754789696668774</v>
      </c>
      <c r="R60" s="3">
        <f t="shared" si="13"/>
        <v>3.982186043639986</v>
      </c>
      <c r="S60" s="3">
        <f t="shared" si="14"/>
        <v>0.030000000000000027</v>
      </c>
      <c r="T60" s="3">
        <f t="shared" si="15"/>
        <v>0.11946558130919968</v>
      </c>
      <c r="V60" s="3">
        <f t="shared" si="16"/>
        <v>0.3162251516176627</v>
      </c>
    </row>
    <row r="61" spans="2:22" ht="12.75">
      <c r="B61" s="3">
        <f t="shared" si="6"/>
        <v>0.32000000000000006</v>
      </c>
      <c r="C61" s="3">
        <f t="shared" si="7"/>
        <v>0.42342993579592547</v>
      </c>
      <c r="D61" s="3">
        <f t="shared" si="18"/>
        <v>0.23942993579592547</v>
      </c>
      <c r="E61" s="3">
        <f t="shared" si="8"/>
        <v>1.7684920408483493</v>
      </c>
      <c r="F61" s="3">
        <f t="shared" si="17"/>
        <v>0.5505476122545049</v>
      </c>
      <c r="G61" s="3">
        <f t="shared" si="0"/>
        <v>4.7190976</v>
      </c>
      <c r="H61" s="3">
        <f t="shared" si="1"/>
        <v>0.6895134867743558</v>
      </c>
      <c r="I61" s="3">
        <v>0.03261611589080146</v>
      </c>
      <c r="J61" s="3">
        <f t="shared" si="2"/>
        <v>7.445674535375858</v>
      </c>
      <c r="K61" s="3">
        <f t="shared" si="3"/>
        <v>0.20066302116263918</v>
      </c>
      <c r="L61" s="3">
        <f t="shared" si="9"/>
        <v>1.217481600182279</v>
      </c>
      <c r="M61" s="3">
        <f t="shared" si="4"/>
        <v>-0.00035656288245457864</v>
      </c>
      <c r="N61" s="3">
        <f t="shared" si="5"/>
        <v>-1217838163.0647337</v>
      </c>
      <c r="O61" s="3">
        <f t="shared" si="10"/>
        <v>3.0794002894539236</v>
      </c>
      <c r="P61" s="3">
        <f t="shared" si="11"/>
        <v>0.051550319741423434</v>
      </c>
      <c r="Q61" s="3">
        <f t="shared" si="12"/>
        <v>0.15874406953318163</v>
      </c>
      <c r="R61" s="3">
        <f t="shared" si="13"/>
        <v>3.6313605135979765</v>
      </c>
      <c r="S61" s="3">
        <f t="shared" si="14"/>
        <v>0.030000000000000027</v>
      </c>
      <c r="T61" s="3">
        <f t="shared" si="15"/>
        <v>0.10894081540793939</v>
      </c>
      <c r="V61" s="3">
        <f t="shared" si="16"/>
        <v>0.3498845910918657</v>
      </c>
    </row>
    <row r="62" spans="2:22" ht="12.75">
      <c r="B62" s="3">
        <f t="shared" si="6"/>
        <v>0.3500000000000001</v>
      </c>
      <c r="C62" s="3">
        <f t="shared" si="7"/>
        <v>0.4251675886489788</v>
      </c>
      <c r="D62" s="3">
        <f t="shared" si="18"/>
        <v>0.2411675886489788</v>
      </c>
      <c r="E62" s="3">
        <f t="shared" si="8"/>
        <v>1.7629549270313158</v>
      </c>
      <c r="F62" s="3">
        <f t="shared" si="17"/>
        <v>0.6017751259203343</v>
      </c>
      <c r="G62" s="3">
        <f t="shared" si="0"/>
        <v>4.508252499999999</v>
      </c>
      <c r="H62" s="3">
        <f t="shared" si="1"/>
        <v>0.7082439105594777</v>
      </c>
      <c r="I62" s="3">
        <v>0.03640342262481387</v>
      </c>
      <c r="J62" s="3">
        <f t="shared" si="2"/>
        <v>7.401419221451302</v>
      </c>
      <c r="K62" s="3">
        <f t="shared" si="3"/>
        <v>0.2185155365162825</v>
      </c>
      <c r="L62" s="3">
        <f t="shared" si="9"/>
        <v>1.2221421311799616</v>
      </c>
      <c r="M62" s="3">
        <f t="shared" si="4"/>
        <v>-0.00034930291269258396</v>
      </c>
      <c r="N62" s="3">
        <f t="shared" si="5"/>
        <v>-1222491434.0926542</v>
      </c>
      <c r="O62" s="3">
        <f t="shared" si="10"/>
        <v>2.8316425183516647</v>
      </c>
      <c r="P62" s="3">
        <f t="shared" si="11"/>
        <v>0.05122751366582945</v>
      </c>
      <c r="Q62" s="3">
        <f t="shared" si="12"/>
        <v>0.14505800580560363</v>
      </c>
      <c r="R62" s="3">
        <f t="shared" si="13"/>
        <v>3.3414814479446413</v>
      </c>
      <c r="S62" s="3">
        <f t="shared" si="14"/>
        <v>0.030000000000000027</v>
      </c>
      <c r="T62" s="3">
        <f t="shared" si="15"/>
        <v>0.10024444343833933</v>
      </c>
      <c r="V62" s="3">
        <f t="shared" si="16"/>
        <v>0.3832595894040518</v>
      </c>
    </row>
    <row r="63" spans="2:22" ht="12.75">
      <c r="B63" s="3">
        <f t="shared" si="6"/>
        <v>0.3800000000000001</v>
      </c>
      <c r="C63" s="3">
        <f t="shared" si="7"/>
        <v>0.42691956207444887</v>
      </c>
      <c r="D63" s="3">
        <f t="shared" si="18"/>
        <v>0.24291956207444887</v>
      </c>
      <c r="E63" s="3">
        <f t="shared" si="8"/>
        <v>1.7574523781810891</v>
      </c>
      <c r="F63" s="3">
        <f t="shared" si="17"/>
        <v>0.6526828561451923</v>
      </c>
      <c r="G63" s="3">
        <f t="shared" si="0"/>
        <v>4.311355599999999</v>
      </c>
      <c r="H63" s="3">
        <f t="shared" si="1"/>
        <v>0.7254590414274549</v>
      </c>
      <c r="I63" s="3">
        <v>0.040375406226652574</v>
      </c>
      <c r="J63" s="3">
        <f t="shared" si="2"/>
        <v>7.3552447498036235</v>
      </c>
      <c r="K63" s="3">
        <f t="shared" si="3"/>
        <v>0.236329808413311</v>
      </c>
      <c r="L63" s="3">
        <f t="shared" si="9"/>
        <v>1.2259213713178245</v>
      </c>
      <c r="M63" s="3">
        <f t="shared" si="4"/>
        <v>-0.00034204294293058927</v>
      </c>
      <c r="N63" s="3">
        <f t="shared" si="5"/>
        <v>-1226263414.260755</v>
      </c>
      <c r="O63" s="3">
        <f t="shared" si="10"/>
        <v>2.625507451649766</v>
      </c>
      <c r="P63" s="3">
        <f t="shared" si="11"/>
        <v>0.05090773022485795</v>
      </c>
      <c r="Q63" s="3">
        <f t="shared" si="12"/>
        <v>0.13365862505194057</v>
      </c>
      <c r="R63" s="3">
        <f t="shared" si="13"/>
        <v>3.098112197873926</v>
      </c>
      <c r="S63" s="3">
        <f t="shared" si="14"/>
        <v>0.030000000000000027</v>
      </c>
      <c r="T63" s="3">
        <f t="shared" si="15"/>
        <v>0.09294336593621787</v>
      </c>
      <c r="V63" s="3">
        <f t="shared" si="16"/>
        <v>0.4163530477318813</v>
      </c>
    </row>
    <row r="64" spans="2:22" ht="12.75">
      <c r="B64" s="3">
        <f t="shared" si="6"/>
        <v>0.41000000000000014</v>
      </c>
      <c r="C64" s="3">
        <f t="shared" si="7"/>
        <v>0.42868603383570625</v>
      </c>
      <c r="D64" s="3">
        <f t="shared" si="18"/>
        <v>0.24468603383570625</v>
      </c>
      <c r="E64" s="3">
        <f t="shared" si="8"/>
        <v>1.751984071651373</v>
      </c>
      <c r="F64" s="3">
        <f t="shared" si="17"/>
        <v>0.7032737879440357</v>
      </c>
      <c r="G64" s="3">
        <f t="shared" si="0"/>
        <v>4.128406899999999</v>
      </c>
      <c r="H64" s="3">
        <f t="shared" si="1"/>
        <v>0.7415281275647571</v>
      </c>
      <c r="I64" s="3">
        <v>0.040719305105729825</v>
      </c>
      <c r="J64" s="3">
        <f t="shared" si="2"/>
        <v>7.3512584125604485</v>
      </c>
      <c r="K64" s="3">
        <f t="shared" si="3"/>
        <v>0.23783064998689216</v>
      </c>
      <c r="L64" s="3">
        <f t="shared" si="9"/>
        <v>1.2604047392469453</v>
      </c>
      <c r="M64" s="3">
        <f t="shared" si="4"/>
        <v>-0.0003347829731685946</v>
      </c>
      <c r="N64" s="3">
        <f t="shared" si="5"/>
        <v>-1260739522.2201138</v>
      </c>
      <c r="O64" s="3">
        <f t="shared" si="10"/>
        <v>2.365674907348624</v>
      </c>
      <c r="P64" s="3">
        <f t="shared" si="11"/>
        <v>0.05059093179884344</v>
      </c>
      <c r="Q64" s="3">
        <f t="shared" si="12"/>
        <v>0.11968169789590952</v>
      </c>
      <c r="R64" s="3">
        <f t="shared" si="13"/>
        <v>2.861099416820764</v>
      </c>
      <c r="S64" s="3">
        <f t="shared" si="14"/>
        <v>0.030000000000000027</v>
      </c>
      <c r="T64" s="3">
        <f t="shared" si="15"/>
        <v>0.085832982504623</v>
      </c>
      <c r="V64" s="3">
        <f t="shared" si="16"/>
        <v>0.46544313795714354</v>
      </c>
    </row>
    <row r="69" spans="2:20" ht="12.75">
      <c r="B69" s="3">
        <f>COUNT(B51:B67)</f>
        <v>14</v>
      </c>
      <c r="P69" s="3" t="s">
        <v>110</v>
      </c>
      <c r="Q69" s="3">
        <f>SUM(Q52:Q64)</f>
        <v>4.895598108443188</v>
      </c>
      <c r="S69" s="3" t="s">
        <v>111</v>
      </c>
      <c r="T69" s="3">
        <f>SUM(T52:T64)</f>
        <v>2.7961400936711502</v>
      </c>
    </row>
    <row r="72" spans="1:6" ht="12.75">
      <c r="A72" s="3" t="s">
        <v>82</v>
      </c>
      <c r="B72" s="3">
        <v>0.156</v>
      </c>
      <c r="C72" s="3" t="s">
        <v>85</v>
      </c>
      <c r="D72" s="3" t="s">
        <v>88</v>
      </c>
      <c r="E72" s="3">
        <v>0.0254</v>
      </c>
      <c r="F72" s="3" t="s">
        <v>85</v>
      </c>
    </row>
    <row r="73" spans="1:3" ht="12.75">
      <c r="A73" s="3" t="s">
        <v>83</v>
      </c>
      <c r="B73" s="3">
        <f>PI()*(B72/2)^2</f>
        <v>0.019113449704440302</v>
      </c>
      <c r="C73" s="3" t="s">
        <v>84</v>
      </c>
    </row>
    <row r="74" spans="2:7" ht="12.75">
      <c r="B74" s="3" t="s">
        <v>73</v>
      </c>
      <c r="G74" s="3" t="s">
        <v>89</v>
      </c>
    </row>
    <row r="75" spans="2:8" ht="12.75">
      <c r="B75" s="3" t="s">
        <v>103</v>
      </c>
      <c r="C75" s="3" t="s">
        <v>104</v>
      </c>
      <c r="G75" s="3" t="s">
        <v>103</v>
      </c>
      <c r="H75" s="3" t="s">
        <v>104</v>
      </c>
    </row>
    <row r="76" spans="1:8" ht="12.75">
      <c r="A76" s="3" t="s">
        <v>80</v>
      </c>
      <c r="B76" s="3">
        <v>373</v>
      </c>
      <c r="C76" s="3">
        <v>353</v>
      </c>
      <c r="F76" s="3" t="s">
        <v>80</v>
      </c>
      <c r="G76" s="3">
        <v>373</v>
      </c>
      <c r="H76" s="3">
        <v>353</v>
      </c>
    </row>
    <row r="77" spans="1:8" ht="12.75">
      <c r="A77" s="3" t="s">
        <v>81</v>
      </c>
      <c r="B77" s="3">
        <v>101325</v>
      </c>
      <c r="C77" s="3">
        <v>101325</v>
      </c>
      <c r="F77" s="3" t="s">
        <v>81</v>
      </c>
      <c r="G77" s="3">
        <v>101325</v>
      </c>
      <c r="H77" s="3">
        <v>101325</v>
      </c>
    </row>
    <row r="78" spans="1:8" ht="12.75">
      <c r="A78" s="3" t="s">
        <v>41</v>
      </c>
      <c r="B78" s="3">
        <v>1</v>
      </c>
      <c r="C78" s="3">
        <v>1</v>
      </c>
      <c r="F78" s="3" t="s">
        <v>41</v>
      </c>
      <c r="G78" s="3">
        <v>1</v>
      </c>
      <c r="H78" s="3">
        <v>1</v>
      </c>
    </row>
    <row r="79" spans="1:8" ht="12.75">
      <c r="A79" s="3" t="s">
        <v>74</v>
      </c>
      <c r="B79" s="3">
        <f>0.001*$C$16*B77/(B78*8.31441*B76)</f>
        <v>0.7001619653243706</v>
      </c>
      <c r="C79" s="3">
        <f>0.001*$C$16*C77/(C78*8.31441*C76)</f>
        <v>0.7398311984872245</v>
      </c>
      <c r="F79" s="3" t="s">
        <v>74</v>
      </c>
      <c r="G79" s="3">
        <v>965</v>
      </c>
      <c r="H79" s="3">
        <v>978</v>
      </c>
    </row>
    <row r="80" spans="1:8" ht="12.75">
      <c r="A80" s="3" t="s">
        <v>75</v>
      </c>
      <c r="B80" s="3">
        <v>1.2E-05</v>
      </c>
      <c r="C80" s="3">
        <v>1.1E-05</v>
      </c>
      <c r="F80" s="3" t="s">
        <v>75</v>
      </c>
      <c r="G80" s="3">
        <v>0.000317</v>
      </c>
      <c r="H80" s="3">
        <v>0.000406</v>
      </c>
    </row>
    <row r="81" spans="1:8" ht="12.75">
      <c r="A81" s="3" t="s">
        <v>76</v>
      </c>
      <c r="B81" s="3">
        <v>2E-05</v>
      </c>
      <c r="C81" s="3">
        <v>2E-05</v>
      </c>
      <c r="F81" s="3" t="s">
        <v>76</v>
      </c>
      <c r="G81" s="3">
        <v>5E-09</v>
      </c>
      <c r="H81" s="3">
        <v>5E-09</v>
      </c>
    </row>
    <row r="83" spans="1:8" ht="12.75">
      <c r="A83" s="3" t="s">
        <v>34</v>
      </c>
      <c r="B83" s="3">
        <f>D51</f>
        <v>0.2228039270564102</v>
      </c>
      <c r="C83" s="3">
        <f>D64</f>
        <v>0.24468603383570625</v>
      </c>
      <c r="F83" s="3" t="s">
        <v>34</v>
      </c>
      <c r="G83" s="3">
        <f>C51</f>
        <v>0.4068039270564103</v>
      </c>
      <c r="H83" s="3">
        <f>C64</f>
        <v>0.42868603383570625</v>
      </c>
    </row>
    <row r="84" spans="1:8" ht="12.75">
      <c r="A84" s="3" t="s">
        <v>33</v>
      </c>
      <c r="B84" s="3">
        <f>$C$16</f>
        <v>21.43</v>
      </c>
      <c r="C84" s="3">
        <f>$C$16</f>
        <v>21.43</v>
      </c>
      <c r="F84" s="3" t="s">
        <v>33</v>
      </c>
      <c r="G84" s="3">
        <f>$D$16</f>
        <v>18.28</v>
      </c>
      <c r="H84" s="3">
        <f>$D$16</f>
        <v>18.28</v>
      </c>
    </row>
    <row r="85" spans="1:8" ht="12.75">
      <c r="A85" s="3" t="s">
        <v>112</v>
      </c>
      <c r="B85" s="3">
        <f>B84*0.001*B83</f>
        <v>0.00477468815681887</v>
      </c>
      <c r="C85" s="3">
        <f>C84*0.001*C83</f>
        <v>0.005243621705099185</v>
      </c>
      <c r="D85" s="3">
        <f>B85*3600/B73</f>
        <v>899.3079548876378</v>
      </c>
      <c r="E85" s="3">
        <f>G85*3600/B73</f>
        <v>1400.6342782542813</v>
      </c>
      <c r="F85" s="3" t="s">
        <v>112</v>
      </c>
      <c r="G85" s="3">
        <f>G84*0.001*G83</f>
        <v>0.0074363757865911805</v>
      </c>
      <c r="H85" s="3">
        <f>H84*0.001*H83</f>
        <v>0.00783638069851671</v>
      </c>
    </row>
    <row r="86" spans="1:8" ht="12.75">
      <c r="A86" s="3" t="s">
        <v>77</v>
      </c>
      <c r="B86" s="3">
        <f>B85/B79</f>
        <v>0.006819405213773439</v>
      </c>
      <c r="C86" s="3">
        <f>C85/C79</f>
        <v>0.0070875920288589085</v>
      </c>
      <c r="F86" s="3" t="s">
        <v>77</v>
      </c>
      <c r="G86" s="3">
        <f>G85/G79</f>
        <v>7.706088898021948E-06</v>
      </c>
      <c r="H86" s="3">
        <f>H85/H79</f>
        <v>8.012659200937332E-06</v>
      </c>
    </row>
    <row r="87" spans="1:8" ht="12.75">
      <c r="A87" s="3" t="s">
        <v>78</v>
      </c>
      <c r="B87" s="3">
        <f>B86/$B$73</f>
        <v>0.356785683339476</v>
      </c>
      <c r="C87" s="3">
        <f>C86/$B$73</f>
        <v>0.37081699737396795</v>
      </c>
      <c r="F87" s="3" t="s">
        <v>78</v>
      </c>
      <c r="G87" s="3">
        <f>G86/$B$73</f>
        <v>0.00040317624589933257</v>
      </c>
      <c r="H87" s="3">
        <f>H86/$B$73</f>
        <v>0.00041921575251148343</v>
      </c>
    </row>
    <row r="89" spans="1:8" ht="12.75">
      <c r="A89" s="3" t="s">
        <v>79</v>
      </c>
      <c r="B89" s="3">
        <v>255.9</v>
      </c>
      <c r="C89" s="3">
        <v>255.9</v>
      </c>
      <c r="F89" s="3" t="s">
        <v>79</v>
      </c>
      <c r="G89" s="3">
        <v>255.9</v>
      </c>
      <c r="H89" s="3">
        <v>255.9</v>
      </c>
    </row>
    <row r="90" spans="1:8" ht="12.75">
      <c r="A90" s="3" t="s">
        <v>86</v>
      </c>
      <c r="B90" s="3">
        <f>B80/(B79*B81)</f>
        <v>0.8569445781334785</v>
      </c>
      <c r="C90" s="3">
        <f>C80/(C79*C81)</f>
        <v>0.7434128232556517</v>
      </c>
      <c r="F90" s="3" t="s">
        <v>86</v>
      </c>
      <c r="G90" s="3">
        <f>G80/(G79*G81)</f>
        <v>65.69948186528497</v>
      </c>
      <c r="H90" s="3">
        <f>H80/(H79*H81)</f>
        <v>83.02658486707567</v>
      </c>
    </row>
    <row r="91" spans="1:8" ht="12.75">
      <c r="A91" s="3" t="s">
        <v>87</v>
      </c>
      <c r="B91" s="3">
        <f>(B79*B87)/(B80*B89)</f>
        <v>81.34940902910188</v>
      </c>
      <c r="C91" s="3">
        <f>(C79*C87)/(C80*C89)</f>
        <v>97.46064996504909</v>
      </c>
      <c r="F91" s="3" t="s">
        <v>87</v>
      </c>
      <c r="G91" s="3">
        <f>(G79*G87)/(G80*G89)</f>
        <v>4.796149389152356</v>
      </c>
      <c r="H91" s="3">
        <f>(H79*H87)/(H80*H89)</f>
        <v>3.9462094178975278</v>
      </c>
    </row>
    <row r="92" spans="1:8" ht="12.75">
      <c r="A92" s="3" t="s">
        <v>92</v>
      </c>
      <c r="B92" s="3">
        <f>0.523*B91^0.7*B90^0.333*(B89*$E$72)^-2*(B89*B81)</f>
        <v>0.0013083239990800389</v>
      </c>
      <c r="C92" s="3">
        <f>0.523*C91^0.7*C90^0.333*(C89*$E$72)^-2*(C89*C81)</f>
        <v>0.0014161005248841333</v>
      </c>
      <c r="D92" s="3" t="s">
        <v>103</v>
      </c>
      <c r="E92" s="3" t="s">
        <v>104</v>
      </c>
      <c r="F92" s="3" t="s">
        <v>94</v>
      </c>
      <c r="G92" s="3">
        <f>0.000051*G91^0.667*G90^-0.5*(G89*$E$72)^0.4*(G79/(G80*9.81))^-0.333</f>
        <v>5.614837030186106E-07</v>
      </c>
      <c r="H92" s="3">
        <f>0.000051*H91^0.667*H90^-0.5*(H89*$E$72)^0.4*(H79/(H80*9.81))^-0.333</f>
        <v>4.740863440263175E-07</v>
      </c>
    </row>
    <row r="93" spans="2:7" ht="12.75">
      <c r="B93" s="3">
        <f>1/B92</f>
        <v>764.3366633212873</v>
      </c>
      <c r="D93" s="3" t="s">
        <v>97</v>
      </c>
      <c r="E93" s="3" t="s">
        <v>97</v>
      </c>
      <c r="G93" s="3">
        <f>1/G92</f>
        <v>1780995.5919002953</v>
      </c>
    </row>
    <row r="94" spans="1:8" ht="12.75">
      <c r="A94" s="3" t="s">
        <v>90</v>
      </c>
      <c r="B94" s="3">
        <v>1</v>
      </c>
      <c r="C94" s="3">
        <v>1</v>
      </c>
      <c r="D94" s="3">
        <f>G92/B92</f>
        <v>0.0004291625800745255</v>
      </c>
      <c r="E94" s="3">
        <f>H92/C92</f>
        <v>0.00033478297316859453</v>
      </c>
      <c r="F94" s="3" t="s">
        <v>90</v>
      </c>
      <c r="G94" s="3">
        <v>1</v>
      </c>
      <c r="H94" s="3">
        <v>1</v>
      </c>
    </row>
    <row r="95" ht="12.75">
      <c r="D95" s="3">
        <f>0.000117/0.0756</f>
        <v>0.0015476190476190477</v>
      </c>
    </row>
    <row r="96" spans="1:8" ht="12.75">
      <c r="A96" s="3" t="s">
        <v>91</v>
      </c>
      <c r="B96" s="3">
        <f>(B94*B87)/(B92*B89)</f>
        <v>1.065667755859713</v>
      </c>
      <c r="C96" s="3">
        <f>(C94*C87)/(C92*C89)</f>
        <v>1.0232818316733014</v>
      </c>
      <c r="F96" s="3" t="s">
        <v>93</v>
      </c>
      <c r="G96" s="3">
        <f>(G94*G87)/(G92*G89)</f>
        <v>2.8059988929488893</v>
      </c>
      <c r="H96" s="3">
        <f>(H94*H87)/(H92*H89)</f>
        <v>3.4554917608018503</v>
      </c>
    </row>
    <row r="98" ht="12.75">
      <c r="D98" s="3">
        <f>D94-E94</f>
        <v>9.437960690593096E-05</v>
      </c>
    </row>
    <row r="99" ht="12.75">
      <c r="D99" s="3">
        <f>D98/(B69-1)</f>
        <v>7.259969761994689E-06</v>
      </c>
    </row>
    <row r="100" spans="1:7" ht="12.75">
      <c r="A100" s="3" t="s">
        <v>110</v>
      </c>
      <c r="B100" s="3">
        <f>Q69</f>
        <v>4.895598108443188</v>
      </c>
      <c r="F100" s="3" t="s">
        <v>111</v>
      </c>
      <c r="G100" s="3">
        <f>T69</f>
        <v>2.7961400936711502</v>
      </c>
    </row>
    <row r="102" spans="1:7" ht="12.75">
      <c r="A102" s="3" t="s">
        <v>108</v>
      </c>
      <c r="B102" s="3">
        <f>B96*Q69</f>
        <v>5.217081049815708</v>
      </c>
      <c r="F102" s="3" t="s">
        <v>109</v>
      </c>
      <c r="G102" s="3">
        <f>G96*T69</f>
        <v>7.845966007371251</v>
      </c>
    </row>
    <row r="107" ht="12.75">
      <c r="B107" s="3">
        <f>0.000117/0.0756</f>
        <v>0.0015476190476190477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K34"/>
  <sheetViews>
    <sheetView zoomScalePageLayoutView="0" workbookViewId="0" topLeftCell="A1">
      <selection activeCell="K21" sqref="K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225</v>
      </c>
      <c r="C6">
        <v>270</v>
      </c>
      <c r="D6">
        <v>1815</v>
      </c>
      <c r="E6">
        <f>D6-C6</f>
        <v>1545</v>
      </c>
      <c r="F6">
        <v>56.5</v>
      </c>
      <c r="G6">
        <f>E6/B6</f>
        <v>6.866666666666666</v>
      </c>
    </row>
    <row r="7" spans="2:7" ht="12.75">
      <c r="B7">
        <v>247</v>
      </c>
      <c r="C7">
        <v>274</v>
      </c>
      <c r="D7">
        <v>1704</v>
      </c>
      <c r="E7">
        <f>D7-C7</f>
        <v>1430</v>
      </c>
      <c r="F7">
        <v>48</v>
      </c>
      <c r="G7">
        <f>E7/B7</f>
        <v>5.7894736842105265</v>
      </c>
    </row>
    <row r="8" spans="2:7" ht="12.75">
      <c r="B8">
        <v>342</v>
      </c>
      <c r="C8">
        <v>274</v>
      </c>
      <c r="D8">
        <v>1747</v>
      </c>
      <c r="E8">
        <f>D8-C8</f>
        <v>1473</v>
      </c>
      <c r="F8">
        <v>35</v>
      </c>
      <c r="G8">
        <f>E8/B8</f>
        <v>4.307017543859649</v>
      </c>
    </row>
    <row r="15" spans="9:11" ht="12.75">
      <c r="I15" t="s">
        <v>119</v>
      </c>
      <c r="J15">
        <f>(0.1186*20+0.1378)*60/1000/0.997</f>
        <v>0.15104112337011033</v>
      </c>
      <c r="K15" t="s">
        <v>117</v>
      </c>
    </row>
    <row r="16" spans="9:11" ht="12.75">
      <c r="I16" t="s">
        <v>118</v>
      </c>
      <c r="J16">
        <f>(0.1186*100+0.1378)*60/1000/0.997</f>
        <v>0.7220341023069207</v>
      </c>
      <c r="K16" t="s">
        <v>117</v>
      </c>
    </row>
    <row r="32" ht="12.75">
      <c r="B32" t="s">
        <v>7</v>
      </c>
    </row>
    <row r="33" spans="3:6" ht="12.75">
      <c r="C33" t="s">
        <v>0</v>
      </c>
      <c r="D33" t="s">
        <v>1</v>
      </c>
      <c r="E33" t="s">
        <v>2</v>
      </c>
      <c r="F33" t="s">
        <v>8</v>
      </c>
    </row>
    <row r="34" spans="3:7" ht="12.75">
      <c r="C34">
        <v>95.64</v>
      </c>
      <c r="D34">
        <v>342.335</v>
      </c>
      <c r="E34">
        <f>D34-C34</f>
        <v>246.695</v>
      </c>
      <c r="F34">
        <v>250</v>
      </c>
      <c r="G34">
        <f>E34/F34</f>
        <v>0.98678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L32"/>
  <sheetViews>
    <sheetView zoomScalePageLayoutView="0" workbookViewId="0" topLeftCell="A19">
      <selection activeCell="I21" sqref="I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68</v>
      </c>
      <c r="C6">
        <v>52</v>
      </c>
      <c r="D6">
        <v>424</v>
      </c>
      <c r="E6">
        <f aca="true" t="shared" si="0" ref="E6:E11">D6-C6</f>
        <v>372</v>
      </c>
      <c r="F6">
        <v>12.5</v>
      </c>
      <c r="G6">
        <f aca="true" t="shared" si="1" ref="G6:G11">E6/B6</f>
        <v>5.470588235294118</v>
      </c>
    </row>
    <row r="7" spans="2:7" ht="12.75">
      <c r="B7">
        <v>85</v>
      </c>
      <c r="C7">
        <v>53</v>
      </c>
      <c r="D7">
        <v>373</v>
      </c>
      <c r="E7">
        <f t="shared" si="0"/>
        <v>320</v>
      </c>
      <c r="F7">
        <v>8.8</v>
      </c>
      <c r="G7">
        <f t="shared" si="1"/>
        <v>3.764705882352941</v>
      </c>
    </row>
    <row r="8" spans="2:7" ht="12.75">
      <c r="B8">
        <v>235</v>
      </c>
      <c r="C8">
        <v>53</v>
      </c>
      <c r="D8">
        <v>364</v>
      </c>
      <c r="E8">
        <f t="shared" si="0"/>
        <v>311</v>
      </c>
      <c r="F8">
        <v>5</v>
      </c>
      <c r="G8">
        <f t="shared" si="1"/>
        <v>1.323404255319149</v>
      </c>
    </row>
    <row r="9" spans="2:7" ht="12.75">
      <c r="B9">
        <v>57</v>
      </c>
      <c r="C9">
        <v>53</v>
      </c>
      <c r="D9">
        <v>408</v>
      </c>
      <c r="E9">
        <f t="shared" si="0"/>
        <v>355</v>
      </c>
      <c r="F9">
        <v>15</v>
      </c>
      <c r="G9">
        <f t="shared" si="1"/>
        <v>6.228070175438597</v>
      </c>
    </row>
    <row r="10" spans="2:7" ht="12.75">
      <c r="B10">
        <v>51</v>
      </c>
      <c r="C10">
        <v>53</v>
      </c>
      <c r="D10">
        <v>420</v>
      </c>
      <c r="E10">
        <f t="shared" si="0"/>
        <v>367</v>
      </c>
      <c r="F10">
        <v>17</v>
      </c>
      <c r="G10">
        <f t="shared" si="1"/>
        <v>7.196078431372549</v>
      </c>
    </row>
    <row r="11" spans="2:7" ht="12.75">
      <c r="B11">
        <v>70</v>
      </c>
      <c r="C11">
        <v>53</v>
      </c>
      <c r="D11">
        <v>299</v>
      </c>
      <c r="E11">
        <f t="shared" si="0"/>
        <v>246</v>
      </c>
      <c r="F11">
        <v>10</v>
      </c>
      <c r="G11">
        <f t="shared" si="1"/>
        <v>3.5142857142857142</v>
      </c>
    </row>
    <row r="31" spans="10:12" ht="12.75">
      <c r="J31" t="s">
        <v>119</v>
      </c>
      <c r="K31">
        <f>(0.4833*5-0.919)*60/1000/0.997</f>
        <v>0.09012036108324976</v>
      </c>
      <c r="L31" t="s">
        <v>117</v>
      </c>
    </row>
    <row r="32" spans="10:12" ht="12.75">
      <c r="J32" t="s">
        <v>118</v>
      </c>
      <c r="K32">
        <f>(0.4833*20-0.919)*60/1000/0.997</f>
        <v>0.5263991975927783</v>
      </c>
      <c r="L3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4:K33"/>
  <sheetViews>
    <sheetView zoomScalePageLayoutView="0" workbookViewId="0" topLeftCell="A19">
      <selection activeCell="D24" sqref="D24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6:7" ht="12.75">
      <c r="F6">
        <v>14.4</v>
      </c>
      <c r="G6">
        <v>0.81</v>
      </c>
    </row>
    <row r="7" spans="2:7" ht="12.75">
      <c r="B7">
        <v>69</v>
      </c>
      <c r="C7">
        <v>54</v>
      </c>
      <c r="D7">
        <v>133</v>
      </c>
      <c r="E7">
        <f>D7-C7</f>
        <v>79</v>
      </c>
      <c r="F7">
        <v>19.4</v>
      </c>
      <c r="G7">
        <f>E7/B7</f>
        <v>1.144927536231884</v>
      </c>
    </row>
    <row r="8" spans="2:7" ht="12.75">
      <c r="B8">
        <v>124</v>
      </c>
      <c r="C8">
        <v>54</v>
      </c>
      <c r="D8">
        <v>147</v>
      </c>
      <c r="E8">
        <f aca="true" t="shared" si="0" ref="E8:E13">D8-C8</f>
        <v>93</v>
      </c>
      <c r="F8">
        <v>13.5</v>
      </c>
      <c r="G8">
        <f aca="true" t="shared" si="1" ref="G8:G13">E8/B8</f>
        <v>0.75</v>
      </c>
    </row>
    <row r="9" spans="2:7" ht="12.75">
      <c r="B9">
        <v>110</v>
      </c>
      <c r="C9">
        <v>54</v>
      </c>
      <c r="D9">
        <v>154</v>
      </c>
      <c r="E9">
        <f t="shared" si="0"/>
        <v>100</v>
      </c>
      <c r="F9">
        <v>15.5</v>
      </c>
      <c r="G9">
        <f t="shared" si="1"/>
        <v>0.9090909090909091</v>
      </c>
    </row>
    <row r="10" spans="2:7" ht="12.75">
      <c r="B10">
        <v>84</v>
      </c>
      <c r="C10">
        <v>54</v>
      </c>
      <c r="D10">
        <v>153</v>
      </c>
      <c r="E10">
        <f t="shared" si="0"/>
        <v>99</v>
      </c>
      <c r="F10">
        <v>18.5</v>
      </c>
      <c r="G10">
        <f t="shared" si="1"/>
        <v>1.1785714285714286</v>
      </c>
    </row>
    <row r="11" spans="2:7" ht="12.75">
      <c r="B11">
        <v>205</v>
      </c>
      <c r="C11">
        <v>54</v>
      </c>
      <c r="D11">
        <v>150</v>
      </c>
      <c r="E11">
        <f t="shared" si="0"/>
        <v>96</v>
      </c>
      <c r="F11">
        <v>10</v>
      </c>
      <c r="G11">
        <f t="shared" si="1"/>
        <v>0.4682926829268293</v>
      </c>
    </row>
    <row r="12" spans="2:7" ht="12.75">
      <c r="B12">
        <v>257</v>
      </c>
      <c r="C12">
        <v>54</v>
      </c>
      <c r="D12">
        <v>114</v>
      </c>
      <c r="E12">
        <f t="shared" si="0"/>
        <v>60</v>
      </c>
      <c r="F12">
        <v>7</v>
      </c>
      <c r="G12">
        <f t="shared" si="1"/>
        <v>0.23346303501945526</v>
      </c>
    </row>
    <row r="13" spans="2:7" ht="12.75">
      <c r="B13">
        <v>240</v>
      </c>
      <c r="C13">
        <v>54</v>
      </c>
      <c r="D13">
        <v>71</v>
      </c>
      <c r="E13">
        <f t="shared" si="0"/>
        <v>17</v>
      </c>
      <c r="F13">
        <v>4</v>
      </c>
      <c r="G13">
        <f t="shared" si="1"/>
        <v>0.07083333333333333</v>
      </c>
    </row>
    <row r="32" spans="9:11" ht="12.75">
      <c r="I32" t="s">
        <v>119</v>
      </c>
      <c r="J32">
        <f>(0.0747*4-0.2591)*60/1000/0.997</f>
        <v>0.002389167502507523</v>
      </c>
      <c r="K32" t="s">
        <v>117</v>
      </c>
    </row>
    <row r="33" spans="9:11" ht="12.75">
      <c r="I33" t="s">
        <v>118</v>
      </c>
      <c r="J33">
        <f>(0.0747*20-0.2591)*60/1000/0.997</f>
        <v>0.07431695085255768</v>
      </c>
      <c r="K33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K35"/>
  <sheetViews>
    <sheetView zoomScalePageLayoutView="0" workbookViewId="0" topLeftCell="A19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339</v>
      </c>
      <c r="C6">
        <v>274</v>
      </c>
      <c r="D6">
        <v>1080</v>
      </c>
      <c r="E6">
        <f aca="true" t="shared" si="0" ref="E6:E11">D6-C6</f>
        <v>806</v>
      </c>
      <c r="F6">
        <v>20</v>
      </c>
      <c r="G6">
        <f aca="true" t="shared" si="1" ref="G6:G11">E6/B6</f>
        <v>2.377581120943953</v>
      </c>
    </row>
    <row r="7" spans="2:7" ht="12.75">
      <c r="B7">
        <v>249</v>
      </c>
      <c r="C7">
        <v>274</v>
      </c>
      <c r="D7">
        <v>1172</v>
      </c>
      <c r="E7">
        <f t="shared" si="0"/>
        <v>898</v>
      </c>
      <c r="F7">
        <v>30</v>
      </c>
      <c r="G7">
        <f t="shared" si="1"/>
        <v>3.606425702811245</v>
      </c>
    </row>
    <row r="8" spans="2:7" ht="12.75">
      <c r="B8">
        <v>244</v>
      </c>
      <c r="C8">
        <v>274</v>
      </c>
      <c r="D8">
        <v>1446</v>
      </c>
      <c r="E8">
        <f t="shared" si="0"/>
        <v>1172</v>
      </c>
      <c r="F8">
        <v>40</v>
      </c>
      <c r="G8">
        <f t="shared" si="1"/>
        <v>4.80327868852459</v>
      </c>
    </row>
    <row r="9" spans="2:7" ht="12.75">
      <c r="B9">
        <v>168</v>
      </c>
      <c r="C9">
        <v>274</v>
      </c>
      <c r="D9">
        <v>1283</v>
      </c>
      <c r="E9">
        <f t="shared" si="0"/>
        <v>1009</v>
      </c>
      <c r="F9">
        <v>50</v>
      </c>
      <c r="G9">
        <f t="shared" si="1"/>
        <v>6.005952380952381</v>
      </c>
    </row>
    <row r="10" spans="2:7" ht="12.75">
      <c r="B10">
        <v>129</v>
      </c>
      <c r="C10">
        <v>274</v>
      </c>
      <c r="D10">
        <v>1216</v>
      </c>
      <c r="E10">
        <f t="shared" si="0"/>
        <v>942</v>
      </c>
      <c r="F10">
        <v>60</v>
      </c>
      <c r="G10">
        <f t="shared" si="1"/>
        <v>7.3023255813953485</v>
      </c>
    </row>
    <row r="11" spans="2:7" ht="12.75">
      <c r="B11">
        <v>129</v>
      </c>
      <c r="C11">
        <v>274</v>
      </c>
      <c r="D11">
        <v>1375</v>
      </c>
      <c r="E11">
        <f t="shared" si="0"/>
        <v>1101</v>
      </c>
      <c r="F11">
        <v>70</v>
      </c>
      <c r="G11">
        <f t="shared" si="1"/>
        <v>8.534883720930232</v>
      </c>
    </row>
    <row r="34" spans="9:11" ht="12.75">
      <c r="I34" t="s">
        <v>119</v>
      </c>
      <c r="J34">
        <f>(0.1231*15-0.1)*60/1000/0.997</f>
        <v>0.10510531594784353</v>
      </c>
      <c r="K34" t="s">
        <v>117</v>
      </c>
    </row>
    <row r="35" spans="9:11" ht="12.75">
      <c r="I35" t="s">
        <v>118</v>
      </c>
      <c r="J35">
        <f>(0.1231*100-0.1)*60/1000/0.997</f>
        <v>0.7348044132397192</v>
      </c>
      <c r="K35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tabSelected="1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33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12.7109375" style="0" bestFit="1" customWidth="1"/>
    <col min="3" max="3" width="10.00390625" style="0" bestFit="1" customWidth="1"/>
    <col min="4" max="4" width="12.7109375" style="0" bestFit="1" customWidth="1"/>
    <col min="5" max="5" width="10.00390625" style="0" bestFit="1" customWidth="1"/>
  </cols>
  <sheetData>
    <row r="2" ht="12.75">
      <c r="A2" t="s">
        <v>9</v>
      </c>
    </row>
    <row r="3" spans="1:11" ht="12.75">
      <c r="A3" t="s">
        <v>10</v>
      </c>
      <c r="J3" t="s">
        <v>16</v>
      </c>
      <c r="K3" t="s">
        <v>17</v>
      </c>
    </row>
    <row r="4" spans="1:11" ht="12.75">
      <c r="A4" t="s">
        <v>19</v>
      </c>
      <c r="J4">
        <v>19.975</v>
      </c>
      <c r="K4">
        <f>0.025</f>
        <v>0.025</v>
      </c>
    </row>
    <row r="5" spans="10:11" ht="12.75">
      <c r="J5">
        <v>49.96</v>
      </c>
      <c r="K5">
        <v>0.04</v>
      </c>
    </row>
    <row r="6" spans="1:11" ht="12.75">
      <c r="A6" t="s">
        <v>20</v>
      </c>
      <c r="J6">
        <v>79.945</v>
      </c>
      <c r="K6">
        <v>0.055</v>
      </c>
    </row>
    <row r="7" spans="10:11" ht="12.75">
      <c r="J7">
        <v>99.935</v>
      </c>
      <c r="K7">
        <v>0.065</v>
      </c>
    </row>
    <row r="9" spans="2:5" ht="12.75">
      <c r="B9" t="s">
        <v>14</v>
      </c>
      <c r="C9" t="s">
        <v>14</v>
      </c>
      <c r="D9" t="s">
        <v>15</v>
      </c>
      <c r="E9" t="s">
        <v>15</v>
      </c>
    </row>
    <row r="10" spans="2:5" ht="12.75">
      <c r="B10" t="s">
        <v>12</v>
      </c>
      <c r="C10" t="s">
        <v>13</v>
      </c>
      <c r="D10" t="s">
        <v>12</v>
      </c>
      <c r="E10" t="s">
        <v>18</v>
      </c>
    </row>
    <row r="11" spans="2:5" ht="12.75">
      <c r="B11" s="2">
        <v>20.6</v>
      </c>
      <c r="C11" s="2">
        <f>(0.00050025*B11+0.0150075)+B11</f>
        <v>20.62531265</v>
      </c>
      <c r="D11" s="1">
        <v>20.45</v>
      </c>
      <c r="E11" s="1">
        <f>C11-D11</f>
        <v>0.17531265000000218</v>
      </c>
    </row>
    <row r="12" spans="2:5" ht="12.75">
      <c r="B12" s="2">
        <v>29.945</v>
      </c>
      <c r="C12" s="2">
        <f aca="true" t="shared" si="0" ref="C12:C18">(0.00050025*B12+0.0150075)+B12</f>
        <v>29.97498748625</v>
      </c>
      <c r="D12" s="1">
        <v>29.8</v>
      </c>
      <c r="E12" s="1">
        <f aca="true" t="shared" si="1" ref="E12:E18">C12-D12</f>
        <v>0.17498748625000005</v>
      </c>
    </row>
    <row r="13" spans="2:5" ht="12.75">
      <c r="B13" s="2">
        <v>40.005</v>
      </c>
      <c r="C13" s="2">
        <f t="shared" si="0"/>
        <v>40.04002000125</v>
      </c>
      <c r="D13" s="1">
        <v>39.8</v>
      </c>
      <c r="E13" s="1">
        <f t="shared" si="1"/>
        <v>0.24002000125000222</v>
      </c>
    </row>
    <row r="14" spans="2:5" ht="12.75">
      <c r="B14" s="2">
        <v>50.775</v>
      </c>
      <c r="C14" s="2">
        <f t="shared" si="0"/>
        <v>50.81540769375</v>
      </c>
      <c r="D14" s="1">
        <v>50.48</v>
      </c>
      <c r="E14" s="1">
        <f t="shared" si="1"/>
        <v>0.3354076937499997</v>
      </c>
    </row>
    <row r="15" spans="2:5" ht="12.75">
      <c r="B15" s="2">
        <v>59.96</v>
      </c>
      <c r="C15" s="2">
        <f t="shared" si="0"/>
        <v>60.00500249</v>
      </c>
      <c r="D15" s="1">
        <v>59.5</v>
      </c>
      <c r="E15" s="1">
        <f t="shared" si="1"/>
        <v>0.5050024900000025</v>
      </c>
    </row>
    <row r="16" spans="2:5" ht="12.75">
      <c r="B16" s="2">
        <v>69.845</v>
      </c>
      <c r="C16" s="2">
        <f t="shared" si="0"/>
        <v>69.89494746125</v>
      </c>
      <c r="D16" s="1">
        <v>69.2</v>
      </c>
      <c r="E16" s="1">
        <f t="shared" si="1"/>
        <v>0.6949474612499955</v>
      </c>
    </row>
    <row r="17" spans="2:5" ht="12.75">
      <c r="B17" s="2">
        <v>79.85</v>
      </c>
      <c r="C17" s="2">
        <f t="shared" si="0"/>
        <v>79.90495246249999</v>
      </c>
      <c r="D17" s="1">
        <v>78.98</v>
      </c>
      <c r="E17" s="1">
        <f t="shared" si="1"/>
        <v>0.9249524624999879</v>
      </c>
    </row>
    <row r="18" spans="2:5" ht="12.75">
      <c r="B18" s="2">
        <v>89.875</v>
      </c>
      <c r="C18" s="2">
        <f t="shared" si="0"/>
        <v>89.93496746875</v>
      </c>
      <c r="D18" s="1">
        <v>88.63</v>
      </c>
      <c r="E18" s="1">
        <f t="shared" si="1"/>
        <v>1.3049674687500072</v>
      </c>
    </row>
    <row r="20" spans="4:5" ht="12.75">
      <c r="D20">
        <v>100</v>
      </c>
      <c r="E20" s="1">
        <f>0.00028336*D20^2-0.01480591*D20+0.36609879</f>
        <v>1.7191077900000002</v>
      </c>
    </row>
    <row r="33" ht="12.75">
      <c r="B33" t="s">
        <v>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</dc:creator>
  <cp:keywords/>
  <dc:description/>
  <cp:lastModifiedBy>Jakobsson Kaj</cp:lastModifiedBy>
  <cp:lastPrinted>2002-04-03T09:47:16Z</cp:lastPrinted>
  <dcterms:created xsi:type="dcterms:W3CDTF">2002-03-06T10:58:50Z</dcterms:created>
  <dcterms:modified xsi:type="dcterms:W3CDTF">2015-11-13T08:02:12Z</dcterms:modified>
  <cp:category/>
  <cp:version/>
  <cp:contentType/>
  <cp:contentStatus/>
</cp:coreProperties>
</file>