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8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9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30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31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32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33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34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35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36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37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38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39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40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41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42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43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4.xml" ContentType="application/vnd.openxmlformats-officedocument.drawing+xml"/>
  <Override PartName="/xl/charts/chart44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45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46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47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48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49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50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51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52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53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54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5.xml" ContentType="application/vnd.openxmlformats-officedocument.drawing+xml"/>
  <Override PartName="/xl/charts/chart55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56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57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58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59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60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61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62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hmed Yosri\Downloads\"/>
    </mc:Choice>
  </mc:AlternateContent>
  <xr:revisionPtr revIDLastSave="0" documentId="13_ncr:1_{0E64E442-D99B-48B5-A20B-F496A9E472B7}" xr6:coauthVersionLast="47" xr6:coauthVersionMax="47" xr10:uidLastSave="{00000000-0000-0000-0000-000000000000}"/>
  <bookViews>
    <workbookView xWindow="-108" yWindow="-108" windowWidth="23256" windowHeight="14616" tabRatio="715" activeTab="3" xr2:uid="{3DDFC5EA-9E26-49E4-A6D3-CE4D9743C0E9}"/>
  </bookViews>
  <sheets>
    <sheet name="Cruise" sheetId="3" r:id="rId1"/>
    <sheet name="Hospital passenger ship" sheetId="6" r:id="rId2"/>
    <sheet name="ROPAX" sheetId="8" r:id="rId3"/>
    <sheet name="Container ships" sheetId="10" r:id="rId4"/>
    <sheet name="Mega Yacht" sheetId="9" r:id="rId5"/>
    <sheet name="Ice Breaker" sheetId="2" r:id="rId6"/>
    <sheet name="Offshore supply vessel" sheetId="11" r:id="rId7"/>
  </sheets>
  <externalReferences>
    <externalReference r:id="rId8"/>
  </externalReferenc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9" i="10" l="1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48" i="10"/>
  <c r="T148" i="10"/>
  <c r="T149" i="10"/>
  <c r="T150" i="10"/>
  <c r="T151" i="10"/>
  <c r="T152" i="10"/>
  <c r="T153" i="10"/>
  <c r="T154" i="10"/>
  <c r="T155" i="10"/>
  <c r="T156" i="10"/>
  <c r="T157" i="10"/>
  <c r="T158" i="10"/>
  <c r="T159" i="10"/>
  <c r="T160" i="10"/>
  <c r="T161" i="10"/>
  <c r="T162" i="10"/>
  <c r="T163" i="10"/>
  <c r="T164" i="10"/>
  <c r="T165" i="10"/>
  <c r="T147" i="10"/>
  <c r="O165" i="10"/>
  <c r="Q165" i="10" s="1"/>
  <c r="P165" i="10" s="1"/>
  <c r="R165" i="10"/>
  <c r="S165" i="10"/>
  <c r="R164" i="10"/>
  <c r="O164" i="10"/>
  <c r="Q164" i="10" s="1"/>
  <c r="P164" i="10" s="1"/>
  <c r="S164" i="10"/>
  <c r="O163" i="10"/>
  <c r="Q163" i="10" s="1"/>
  <c r="P163" i="10" s="1"/>
  <c r="R163" i="10"/>
  <c r="S163" i="10"/>
  <c r="S153" i="10"/>
  <c r="S154" i="10"/>
  <c r="S155" i="10"/>
  <c r="S156" i="10"/>
  <c r="S157" i="10"/>
  <c r="S158" i="10"/>
  <c r="S159" i="10"/>
  <c r="S160" i="10"/>
  <c r="S161" i="10"/>
  <c r="S162" i="10"/>
  <c r="R162" i="10"/>
  <c r="O162" i="10"/>
  <c r="Q162" i="10" s="1"/>
  <c r="P162" i="10" s="1"/>
  <c r="R161" i="10"/>
  <c r="O161" i="10"/>
  <c r="Q161" i="10" s="1"/>
  <c r="P161" i="10" s="1"/>
  <c r="O160" i="10"/>
  <c r="Q160" i="10" s="1"/>
  <c r="P160" i="10" s="1"/>
  <c r="R160" i="10"/>
  <c r="R159" i="10"/>
  <c r="O159" i="10"/>
  <c r="Q159" i="10" s="1"/>
  <c r="P159" i="10" s="1"/>
  <c r="O158" i="10"/>
  <c r="Q158" i="10" s="1"/>
  <c r="P158" i="10" s="1"/>
  <c r="R158" i="10"/>
  <c r="R157" i="10"/>
  <c r="O157" i="10"/>
  <c r="Q157" i="10" s="1"/>
  <c r="P157" i="10" s="1"/>
  <c r="O156" i="10"/>
  <c r="Q156" i="10" s="1"/>
  <c r="P156" i="10" s="1"/>
  <c r="R156" i="10"/>
  <c r="O155" i="10"/>
  <c r="Q155" i="10" s="1"/>
  <c r="P155" i="10" s="1"/>
  <c r="R155" i="10"/>
  <c r="R154" i="10"/>
  <c r="O154" i="10"/>
  <c r="Q154" i="10" s="1"/>
  <c r="P154" i="10" s="1"/>
  <c r="O153" i="10"/>
  <c r="Q153" i="10" s="1"/>
  <c r="P153" i="10" s="1"/>
  <c r="R153" i="10"/>
  <c r="B15" i="3"/>
  <c r="X105" i="3"/>
  <c r="X106" i="3"/>
  <c r="X107" i="3"/>
  <c r="X108" i="3"/>
  <c r="X109" i="3"/>
  <c r="X110" i="3"/>
  <c r="X111" i="3"/>
  <c r="X112" i="3"/>
  <c r="X113" i="3"/>
  <c r="X114" i="3"/>
  <c r="X115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6" i="3"/>
  <c r="X209" i="3"/>
  <c r="X211" i="3"/>
  <c r="X212" i="3"/>
  <c r="X213" i="3"/>
  <c r="X214" i="3"/>
  <c r="X215" i="3"/>
  <c r="X216" i="3"/>
  <c r="X217" i="3"/>
  <c r="X218" i="3"/>
  <c r="X219" i="3"/>
  <c r="X220" i="3"/>
  <c r="X221" i="3"/>
  <c r="X222" i="3"/>
  <c r="X223" i="3"/>
  <c r="X224" i="3"/>
  <c r="X225" i="3"/>
  <c r="X226" i="3"/>
  <c r="X227" i="3"/>
  <c r="X228" i="3"/>
  <c r="X229" i="3"/>
  <c r="X230" i="3"/>
  <c r="X232" i="3"/>
  <c r="X234" i="3"/>
  <c r="X235" i="3"/>
  <c r="X236" i="3"/>
  <c r="X237" i="3"/>
  <c r="X238" i="3"/>
  <c r="X239" i="3"/>
  <c r="X240" i="3"/>
  <c r="X241" i="3"/>
  <c r="X242" i="3"/>
  <c r="X243" i="3"/>
  <c r="X245" i="3"/>
  <c r="X104" i="3"/>
  <c r="W142" i="11"/>
  <c r="W143" i="11"/>
  <c r="W144" i="11"/>
  <c r="W145" i="11"/>
  <c r="W146" i="11"/>
  <c r="W147" i="11"/>
  <c r="W148" i="11"/>
  <c r="W149" i="11"/>
  <c r="W150" i="11"/>
  <c r="W151" i="11"/>
  <c r="W152" i="11"/>
  <c r="W153" i="11"/>
  <c r="W154" i="11"/>
  <c r="W155" i="11"/>
  <c r="W156" i="11"/>
  <c r="W157" i="11"/>
  <c r="W158" i="11"/>
  <c r="W159" i="11"/>
  <c r="W160" i="11"/>
  <c r="W161" i="11"/>
  <c r="W162" i="11"/>
  <c r="W163" i="11"/>
  <c r="W164" i="11"/>
  <c r="W165" i="11"/>
  <c r="W166" i="11"/>
  <c r="W167" i="11"/>
  <c r="W168" i="11"/>
  <c r="W169" i="11"/>
  <c r="W170" i="11"/>
  <c r="W171" i="11"/>
  <c r="W172" i="11"/>
  <c r="W173" i="11"/>
  <c r="W174" i="11"/>
  <c r="W175" i="11"/>
  <c r="W176" i="11"/>
  <c r="W177" i="11"/>
  <c r="W178" i="11"/>
  <c r="W179" i="11"/>
  <c r="W180" i="11"/>
  <c r="W181" i="11"/>
  <c r="W182" i="11"/>
  <c r="W183" i="11"/>
  <c r="W184" i="11"/>
  <c r="W185" i="11"/>
  <c r="W186" i="11"/>
  <c r="W187" i="11"/>
  <c r="W188" i="11"/>
  <c r="W189" i="11"/>
  <c r="W141" i="11"/>
  <c r="S175" i="11"/>
  <c r="S174" i="11"/>
  <c r="S171" i="11"/>
  <c r="S169" i="11"/>
  <c r="S166" i="11"/>
  <c r="S162" i="11"/>
  <c r="S161" i="11"/>
  <c r="S160" i="11"/>
  <c r="S159" i="11"/>
  <c r="S158" i="11"/>
  <c r="S156" i="11"/>
  <c r="S155" i="11"/>
  <c r="S151" i="11"/>
  <c r="S150" i="11"/>
  <c r="S149" i="11"/>
  <c r="S145" i="11"/>
  <c r="S143" i="11"/>
  <c r="S142" i="11"/>
  <c r="S133" i="11"/>
  <c r="R129" i="11"/>
  <c r="R130" i="11"/>
  <c r="R131" i="11"/>
  <c r="R132" i="11"/>
  <c r="R133" i="11"/>
  <c r="R134" i="11"/>
  <c r="R135" i="11"/>
  <c r="R136" i="11"/>
  <c r="R137" i="11"/>
  <c r="R138" i="11"/>
  <c r="R139" i="11"/>
  <c r="R140" i="11"/>
  <c r="R141" i="11"/>
  <c r="R142" i="11"/>
  <c r="R143" i="11"/>
  <c r="R144" i="11"/>
  <c r="R145" i="11"/>
  <c r="R146" i="11"/>
  <c r="R147" i="11"/>
  <c r="R148" i="11"/>
  <c r="R149" i="11"/>
  <c r="R150" i="11"/>
  <c r="R155" i="11"/>
  <c r="R157" i="11"/>
  <c r="R158" i="11"/>
  <c r="R159" i="11"/>
  <c r="R160" i="11"/>
  <c r="R161" i="11"/>
  <c r="R163" i="11"/>
  <c r="R165" i="11"/>
  <c r="R166" i="11"/>
  <c r="R167" i="11"/>
  <c r="R168" i="11"/>
  <c r="R169" i="11"/>
  <c r="R170" i="11"/>
  <c r="R171" i="11"/>
  <c r="R172" i="11"/>
  <c r="R173" i="11"/>
  <c r="R175" i="11"/>
  <c r="R177" i="11"/>
  <c r="R178" i="11"/>
  <c r="R128" i="11"/>
  <c r="R126" i="11"/>
  <c r="R127" i="11"/>
  <c r="R125" i="11"/>
  <c r="Q129" i="11"/>
  <c r="Q130" i="11"/>
  <c r="Q131" i="11"/>
  <c r="Q132" i="11"/>
  <c r="Q134" i="11"/>
  <c r="Q135" i="11"/>
  <c r="Q137" i="11"/>
  <c r="Q138" i="11"/>
  <c r="Q141" i="11"/>
  <c r="Q142" i="11"/>
  <c r="Q144" i="11"/>
  <c r="Q146" i="11"/>
  <c r="Q148" i="11"/>
  <c r="Q149" i="11"/>
  <c r="Q150" i="11"/>
  <c r="Q157" i="11"/>
  <c r="Q158" i="11"/>
  <c r="Q126" i="11"/>
  <c r="Q127" i="11"/>
  <c r="Q125" i="11"/>
  <c r="P126" i="11"/>
  <c r="P127" i="11"/>
  <c r="P128" i="11"/>
  <c r="P129" i="11"/>
  <c r="P130" i="11"/>
  <c r="P131" i="11"/>
  <c r="P132" i="11"/>
  <c r="P133" i="11"/>
  <c r="P134" i="11"/>
  <c r="P135" i="11"/>
  <c r="P136" i="11"/>
  <c r="P137" i="11"/>
  <c r="P138" i="11"/>
  <c r="P139" i="11"/>
  <c r="P140" i="11"/>
  <c r="P141" i="11"/>
  <c r="P142" i="11"/>
  <c r="P143" i="11"/>
  <c r="P144" i="11"/>
  <c r="P145" i="11"/>
  <c r="P146" i="11"/>
  <c r="P147" i="11"/>
  <c r="P148" i="11"/>
  <c r="P149" i="11"/>
  <c r="P150" i="11"/>
  <c r="P151" i="11"/>
  <c r="P152" i="11"/>
  <c r="P153" i="11"/>
  <c r="P154" i="11"/>
  <c r="P155" i="11"/>
  <c r="P156" i="11"/>
  <c r="P157" i="11"/>
  <c r="P158" i="11"/>
  <c r="P159" i="11"/>
  <c r="P160" i="11"/>
  <c r="P161" i="11"/>
  <c r="P162" i="11"/>
  <c r="P163" i="11"/>
  <c r="P164" i="11"/>
  <c r="P165" i="11"/>
  <c r="P166" i="11"/>
  <c r="P167" i="11"/>
  <c r="P168" i="11"/>
  <c r="P169" i="11"/>
  <c r="P170" i="11"/>
  <c r="P171" i="11"/>
  <c r="P172" i="11"/>
  <c r="P173" i="11"/>
  <c r="P174" i="11"/>
  <c r="P175" i="11"/>
  <c r="P176" i="11"/>
  <c r="P177" i="11"/>
  <c r="P178" i="11"/>
  <c r="P125" i="11"/>
  <c r="Q189" i="11"/>
  <c r="L189" i="11"/>
  <c r="H189" i="11"/>
  <c r="Q188" i="11"/>
  <c r="L188" i="11"/>
  <c r="H188" i="11"/>
  <c r="Q187" i="11"/>
  <c r="L187" i="11"/>
  <c r="H187" i="11"/>
  <c r="Q186" i="11"/>
  <c r="L186" i="11"/>
  <c r="H186" i="11"/>
  <c r="Q185" i="11"/>
  <c r="L185" i="11"/>
  <c r="H185" i="11"/>
  <c r="Q184" i="11"/>
  <c r="L184" i="11"/>
  <c r="H184" i="11"/>
  <c r="S184" i="11" s="1"/>
  <c r="Q183" i="11"/>
  <c r="L183" i="11"/>
  <c r="H183" i="11"/>
  <c r="S183" i="11" s="1"/>
  <c r="Q182" i="11"/>
  <c r="L182" i="11"/>
  <c r="H182" i="11"/>
  <c r="S182" i="11" s="1"/>
  <c r="Q181" i="11"/>
  <c r="L181" i="11"/>
  <c r="H181" i="11"/>
  <c r="R181" i="11" s="1"/>
  <c r="Q180" i="11"/>
  <c r="L180" i="11"/>
  <c r="H180" i="11"/>
  <c r="Q179" i="11"/>
  <c r="L179" i="11"/>
  <c r="H179" i="11"/>
  <c r="Q178" i="11"/>
  <c r="Q177" i="11"/>
  <c r="Q175" i="11"/>
  <c r="Q173" i="11"/>
  <c r="Q172" i="11"/>
  <c r="Q171" i="11"/>
  <c r="Q170" i="11"/>
  <c r="Q169" i="11"/>
  <c r="Q168" i="11"/>
  <c r="Q167" i="11"/>
  <c r="Q166" i="11"/>
  <c r="Q165" i="11"/>
  <c r="Q164" i="11"/>
  <c r="Q163" i="11"/>
  <c r="Q162" i="11"/>
  <c r="Q161" i="11"/>
  <c r="Q160" i="11"/>
  <c r="Q159" i="11"/>
  <c r="S148" i="11"/>
  <c r="S146" i="11"/>
  <c r="B14" i="11"/>
  <c r="B13" i="11"/>
  <c r="B12" i="11"/>
  <c r="B11" i="11"/>
  <c r="B10" i="11"/>
  <c r="B18" i="9"/>
  <c r="B17" i="9"/>
  <c r="B16" i="9"/>
  <c r="B15" i="9"/>
  <c r="B14" i="9"/>
  <c r="P125" i="2"/>
  <c r="Q125" i="2"/>
  <c r="R125" i="2"/>
  <c r="P126" i="2"/>
  <c r="Q126" i="2"/>
  <c r="R126" i="2"/>
  <c r="P127" i="2"/>
  <c r="Q127" i="2"/>
  <c r="R127" i="2"/>
  <c r="P128" i="2"/>
  <c r="Q128" i="2"/>
  <c r="R128" i="2"/>
  <c r="P129" i="2"/>
  <c r="Q129" i="2"/>
  <c r="R129" i="2"/>
  <c r="P130" i="2"/>
  <c r="Q130" i="2"/>
  <c r="R130" i="2"/>
  <c r="P131" i="2"/>
  <c r="Q131" i="2"/>
  <c r="R131" i="2"/>
  <c r="P132" i="2"/>
  <c r="Q132" i="2"/>
  <c r="R132" i="2"/>
  <c r="L133" i="2"/>
  <c r="P133" i="2"/>
  <c r="Q133" i="2"/>
  <c r="R133" i="2"/>
  <c r="S133" i="2"/>
  <c r="T133" i="2"/>
  <c r="H141" i="2"/>
  <c r="L141" i="2"/>
  <c r="Q141" i="2"/>
  <c r="H142" i="2"/>
  <c r="L142" i="2"/>
  <c r="Q142" i="2"/>
  <c r="H143" i="2"/>
  <c r="L143" i="2"/>
  <c r="Q143" i="2"/>
  <c r="H144" i="2"/>
  <c r="L144" i="2"/>
  <c r="Q144" i="2"/>
  <c r="H145" i="2"/>
  <c r="L145" i="2"/>
  <c r="Q145" i="2"/>
  <c r="H146" i="2"/>
  <c r="L146" i="2"/>
  <c r="Q146" i="2"/>
  <c r="B14" i="2"/>
  <c r="B13" i="2"/>
  <c r="B12" i="2"/>
  <c r="B11" i="2"/>
  <c r="B10" i="2"/>
  <c r="H308" i="2"/>
  <c r="P308" i="2" s="1"/>
  <c r="L308" i="2"/>
  <c r="Q308" i="2"/>
  <c r="H309" i="2"/>
  <c r="P309" i="2" s="1"/>
  <c r="L309" i="2"/>
  <c r="Q309" i="2"/>
  <c r="H310" i="2"/>
  <c r="P310" i="2" s="1"/>
  <c r="L310" i="2"/>
  <c r="Q310" i="2"/>
  <c r="H311" i="2"/>
  <c r="P311" i="2" s="1"/>
  <c r="L311" i="2"/>
  <c r="Q311" i="2"/>
  <c r="H312" i="2"/>
  <c r="P312" i="2" s="1"/>
  <c r="L312" i="2"/>
  <c r="Q312" i="2"/>
  <c r="H313" i="2"/>
  <c r="P313" i="2" s="1"/>
  <c r="L313" i="2"/>
  <c r="Q313" i="2"/>
  <c r="H314" i="2"/>
  <c r="P314" i="2" s="1"/>
  <c r="L314" i="2"/>
  <c r="Q314" i="2"/>
  <c r="H315" i="2"/>
  <c r="P315" i="2" s="1"/>
  <c r="L315" i="2"/>
  <c r="Q315" i="2"/>
  <c r="H316" i="2"/>
  <c r="P316" i="2" s="1"/>
  <c r="L316" i="2"/>
  <c r="Q316" i="2"/>
  <c r="H317" i="2"/>
  <c r="P317" i="2" s="1"/>
  <c r="L317" i="2"/>
  <c r="Q317" i="2"/>
  <c r="H318" i="2"/>
  <c r="P318" i="2" s="1"/>
  <c r="L318" i="2"/>
  <c r="Q318" i="2"/>
  <c r="R147" i="10"/>
  <c r="R148" i="10"/>
  <c r="R150" i="10"/>
  <c r="R151" i="10"/>
  <c r="R152" i="10"/>
  <c r="B14" i="10"/>
  <c r="B17" i="10"/>
  <c r="B16" i="10"/>
  <c r="B15" i="10"/>
  <c r="B13" i="10"/>
  <c r="AB145" i="8"/>
  <c r="AB146" i="8"/>
  <c r="AB147" i="8"/>
  <c r="AB148" i="8"/>
  <c r="AB149" i="8"/>
  <c r="AB150" i="8"/>
  <c r="AB151" i="8"/>
  <c r="AB152" i="8"/>
  <c r="AB153" i="8"/>
  <c r="AB154" i="8"/>
  <c r="AB155" i="8"/>
  <c r="AB156" i="8"/>
  <c r="AB157" i="8"/>
  <c r="AB158" i="8"/>
  <c r="AB159" i="8"/>
  <c r="AB160" i="8"/>
  <c r="AB161" i="8"/>
  <c r="AB162" i="8"/>
  <c r="AB163" i="8"/>
  <c r="AB164" i="8"/>
  <c r="AB165" i="8"/>
  <c r="AB166" i="8"/>
  <c r="AB167" i="8"/>
  <c r="AB168" i="8"/>
  <c r="AB169" i="8"/>
  <c r="AB170" i="8"/>
  <c r="AB171" i="8"/>
  <c r="AB172" i="8"/>
  <c r="AB173" i="8"/>
  <c r="AB174" i="8"/>
  <c r="AB175" i="8"/>
  <c r="AB176" i="8"/>
  <c r="AB177" i="8"/>
  <c r="AB178" i="8"/>
  <c r="AB179" i="8"/>
  <c r="AB180" i="8"/>
  <c r="AB181" i="8"/>
  <c r="AB182" i="8"/>
  <c r="AB183" i="8"/>
  <c r="AB184" i="8"/>
  <c r="AB185" i="8"/>
  <c r="AB186" i="8"/>
  <c r="AB187" i="8"/>
  <c r="AB188" i="8"/>
  <c r="AB189" i="8"/>
  <c r="AB190" i="8"/>
  <c r="AB191" i="8"/>
  <c r="AB192" i="8"/>
  <c r="AB193" i="8"/>
  <c r="AB194" i="8"/>
  <c r="AB195" i="8"/>
  <c r="AB196" i="8"/>
  <c r="AB197" i="8"/>
  <c r="AB198" i="8"/>
  <c r="AB199" i="8"/>
  <c r="AB200" i="8"/>
  <c r="AB201" i="8"/>
  <c r="AB202" i="8"/>
  <c r="AB203" i="8"/>
  <c r="AB204" i="8"/>
  <c r="AB205" i="8"/>
  <c r="AB206" i="8"/>
  <c r="AB207" i="8"/>
  <c r="AB208" i="8"/>
  <c r="AB209" i="8"/>
  <c r="AB210" i="8"/>
  <c r="AB211" i="8"/>
  <c r="AB212" i="8"/>
  <c r="AB213" i="8"/>
  <c r="AB214" i="8"/>
  <c r="AB215" i="8"/>
  <c r="AB216" i="8"/>
  <c r="AB217" i="8"/>
  <c r="AB144" i="8"/>
  <c r="B17" i="8"/>
  <c r="B16" i="8"/>
  <c r="B15" i="8"/>
  <c r="B14" i="8"/>
  <c r="B13" i="8"/>
  <c r="B17" i="6"/>
  <c r="B16" i="6"/>
  <c r="B15" i="6"/>
  <c r="B14" i="6"/>
  <c r="B13" i="6"/>
  <c r="B12" i="3"/>
  <c r="B14" i="3"/>
  <c r="B13" i="3"/>
  <c r="B11" i="3"/>
  <c r="B10" i="3"/>
  <c r="P146" i="2" l="1"/>
  <c r="P145" i="2"/>
  <c r="P143" i="2"/>
  <c r="P142" i="2"/>
  <c r="P141" i="2"/>
  <c r="S181" i="11"/>
  <c r="T179" i="11"/>
  <c r="Y179" i="11" s="1"/>
  <c r="R183" i="11"/>
  <c r="T180" i="11"/>
  <c r="Y180" i="11" s="1"/>
  <c r="T185" i="11"/>
  <c r="Y185" i="11" s="1"/>
  <c r="T182" i="11"/>
  <c r="Y182" i="11" s="1"/>
  <c r="S180" i="11"/>
  <c r="T184" i="11"/>
  <c r="Y184" i="11" s="1"/>
  <c r="R185" i="11"/>
  <c r="T181" i="11"/>
  <c r="Y181" i="11" s="1"/>
  <c r="R182" i="11"/>
  <c r="R179" i="11"/>
  <c r="R180" i="11"/>
  <c r="S179" i="11"/>
  <c r="T183" i="11"/>
  <c r="Y183" i="11" s="1"/>
  <c r="R184" i="11"/>
  <c r="P186" i="11"/>
  <c r="P187" i="11"/>
  <c r="P188" i="11"/>
  <c r="P189" i="11"/>
  <c r="P179" i="11"/>
  <c r="P180" i="11"/>
  <c r="P181" i="11"/>
  <c r="P182" i="11"/>
  <c r="P183" i="11"/>
  <c r="P184" i="11"/>
  <c r="P185" i="11"/>
  <c r="R186" i="11"/>
  <c r="R187" i="11"/>
  <c r="R188" i="11"/>
  <c r="R189" i="11"/>
  <c r="S186" i="11"/>
  <c r="S187" i="11"/>
  <c r="S188" i="11"/>
  <c r="S189" i="11"/>
  <c r="T186" i="11"/>
  <c r="Y186" i="11" s="1"/>
  <c r="T187" i="11"/>
  <c r="Y187" i="11" s="1"/>
  <c r="T188" i="11"/>
  <c r="Y188" i="11" s="1"/>
  <c r="T189" i="11"/>
  <c r="Y189" i="11" s="1"/>
  <c r="T311" i="2"/>
  <c r="T141" i="2"/>
  <c r="Y141" i="2" s="1"/>
  <c r="R141" i="2"/>
  <c r="T144" i="2"/>
  <c r="Y144" i="2" s="1"/>
  <c r="W142" i="2"/>
  <c r="W144" i="2"/>
  <c r="W145" i="2"/>
  <c r="T145" i="2"/>
  <c r="Y145" i="2" s="1"/>
  <c r="S146" i="2"/>
  <c r="S145" i="2"/>
  <c r="S144" i="2"/>
  <c r="S143" i="2"/>
  <c r="S142" i="2"/>
  <c r="T146" i="2"/>
  <c r="Y146" i="2" s="1"/>
  <c r="T143" i="2"/>
  <c r="Y143" i="2" s="1"/>
  <c r="R146" i="2"/>
  <c r="R145" i="2"/>
  <c r="R144" i="2"/>
  <c r="R143" i="2"/>
  <c r="R142" i="2"/>
  <c r="W146" i="2"/>
  <c r="T142" i="2"/>
  <c r="Y142" i="2" s="1"/>
  <c r="P144" i="2"/>
  <c r="T310" i="2"/>
  <c r="T309" i="2"/>
  <c r="S310" i="2"/>
  <c r="S311" i="2"/>
  <c r="R310" i="2"/>
  <c r="T313" i="2"/>
  <c r="R311" i="2"/>
  <c r="T308" i="2"/>
  <c r="T314" i="2"/>
  <c r="W311" i="2"/>
  <c r="W310" i="2"/>
  <c r="W313" i="2"/>
  <c r="T312" i="2"/>
  <c r="S313" i="2"/>
  <c r="R312" i="2"/>
  <c r="W308" i="2"/>
  <c r="S312" i="2"/>
  <c r="W314" i="2"/>
  <c r="R313" i="2"/>
  <c r="W309" i="2"/>
  <c r="S308" i="2"/>
  <c r="S309" i="2"/>
  <c r="W312" i="2"/>
  <c r="W318" i="2"/>
  <c r="W317" i="2"/>
  <c r="W316" i="2"/>
  <c r="W315" i="2"/>
  <c r="T318" i="2"/>
  <c r="T317" i="2"/>
  <c r="T316" i="2"/>
  <c r="T315" i="2"/>
  <c r="S318" i="2"/>
  <c r="S317" i="2"/>
  <c r="S316" i="2"/>
  <c r="S315" i="2"/>
  <c r="R314" i="2"/>
  <c r="R309" i="2"/>
  <c r="R308" i="2"/>
  <c r="R318" i="2"/>
  <c r="R317" i="2"/>
  <c r="R316" i="2"/>
  <c r="R315" i="2"/>
  <c r="O147" i="10"/>
  <c r="P147" i="10"/>
  <c r="O148" i="10"/>
  <c r="Q148" i="10" s="1"/>
  <c r="P148" i="10" s="1"/>
  <c r="O149" i="10"/>
  <c r="Q149" i="10" s="1"/>
  <c r="O150" i="10"/>
  <c r="Q150" i="10" s="1"/>
  <c r="P150" i="10" s="1"/>
  <c r="O151" i="10"/>
  <c r="Q151" i="10" s="1"/>
  <c r="P151" i="10" s="1"/>
  <c r="M152" i="10"/>
  <c r="O152" i="10"/>
  <c r="Q152" i="10" s="1"/>
  <c r="P152" i="10" s="1"/>
  <c r="S152" i="10"/>
  <c r="S151" i="10"/>
  <c r="S150" i="10"/>
  <c r="S149" i="10"/>
  <c r="S148" i="10"/>
  <c r="S147" i="10"/>
  <c r="R119" i="9" l="1"/>
  <c r="R120" i="9"/>
  <c r="R121" i="9"/>
  <c r="R122" i="9"/>
  <c r="R123" i="9"/>
  <c r="R124" i="9"/>
  <c r="R125" i="9"/>
  <c r="R126" i="9"/>
  <c r="R127" i="9"/>
  <c r="R128" i="9"/>
  <c r="R129" i="9"/>
  <c r="R130" i="9"/>
  <c r="R131" i="9"/>
  <c r="R132" i="9"/>
  <c r="R133" i="9"/>
  <c r="R134" i="9"/>
  <c r="R135" i="9"/>
  <c r="R136" i="9"/>
  <c r="R137" i="9"/>
  <c r="R138" i="9"/>
  <c r="R139" i="9"/>
  <c r="R140" i="9"/>
  <c r="R141" i="9"/>
  <c r="R142" i="9"/>
  <c r="R143" i="9"/>
  <c r="R144" i="9"/>
  <c r="R145" i="9"/>
  <c r="R146" i="9"/>
  <c r="R147" i="9"/>
  <c r="R148" i="9"/>
  <c r="R149" i="9"/>
  <c r="R150" i="9"/>
  <c r="R151" i="9"/>
  <c r="R152" i="9"/>
  <c r="R153" i="9"/>
  <c r="R154" i="9"/>
  <c r="R155" i="9"/>
  <c r="R156" i="9"/>
  <c r="R157" i="9"/>
  <c r="R158" i="9"/>
  <c r="R159" i="9"/>
  <c r="R160" i="9"/>
  <c r="R161" i="9"/>
  <c r="R162" i="9"/>
  <c r="R163" i="9"/>
  <c r="R164" i="9"/>
  <c r="R118" i="9"/>
  <c r="Q121" i="9"/>
  <c r="Q126" i="9"/>
  <c r="Q130" i="9"/>
  <c r="Q132" i="9"/>
  <c r="Q133" i="9"/>
  <c r="Q135" i="9"/>
  <c r="Q137" i="9"/>
  <c r="Q140" i="9"/>
  <c r="Q144" i="9"/>
  <c r="Q146" i="9"/>
  <c r="Q151" i="9"/>
  <c r="Q152" i="9"/>
  <c r="Q161" i="9"/>
  <c r="Q162" i="9"/>
  <c r="Q164" i="9"/>
  <c r="D122" i="9"/>
  <c r="Q122" i="9" s="1"/>
  <c r="D127" i="9"/>
  <c r="L127" i="9" s="1"/>
  <c r="D136" i="9"/>
  <c r="Q136" i="9" s="1"/>
  <c r="D147" i="9"/>
  <c r="L147" i="9" s="1"/>
  <c r="L164" i="9"/>
  <c r="K164" i="9"/>
  <c r="J164" i="9"/>
  <c r="J163" i="9"/>
  <c r="D163" i="9"/>
  <c r="K163" i="9" s="1"/>
  <c r="O162" i="9"/>
  <c r="L162" i="9"/>
  <c r="K162" i="9"/>
  <c r="J162" i="9"/>
  <c r="O161" i="9"/>
  <c r="L161" i="9"/>
  <c r="K161" i="9"/>
  <c r="J161" i="9"/>
  <c r="O160" i="9"/>
  <c r="D160" i="9"/>
  <c r="K160" i="9" s="1"/>
  <c r="D159" i="9"/>
  <c r="K159" i="9" s="1"/>
  <c r="D158" i="9"/>
  <c r="Q158" i="9" s="1"/>
  <c r="O157" i="9"/>
  <c r="J157" i="9"/>
  <c r="D157" i="9"/>
  <c r="L157" i="9" s="1"/>
  <c r="O156" i="9"/>
  <c r="J156" i="9"/>
  <c r="D156" i="9"/>
  <c r="Q156" i="9" s="1"/>
  <c r="J155" i="9"/>
  <c r="D155" i="9"/>
  <c r="K155" i="9" s="1"/>
  <c r="O154" i="9"/>
  <c r="J154" i="9"/>
  <c r="D154" i="9"/>
  <c r="L154" i="9" s="1"/>
  <c r="D153" i="9"/>
  <c r="O152" i="9"/>
  <c r="L152" i="9"/>
  <c r="K152" i="9"/>
  <c r="O151" i="9"/>
  <c r="L151" i="9"/>
  <c r="K151" i="9"/>
  <c r="J151" i="9"/>
  <c r="D150" i="9"/>
  <c r="D149" i="9"/>
  <c r="Q149" i="9" s="1"/>
  <c r="O148" i="9"/>
  <c r="J148" i="9"/>
  <c r="D148" i="9"/>
  <c r="K148" i="9" s="1"/>
  <c r="O147" i="9"/>
  <c r="J147" i="9"/>
  <c r="L146" i="9"/>
  <c r="K146" i="9"/>
  <c r="J146" i="9"/>
  <c r="O145" i="9"/>
  <c r="J145" i="9"/>
  <c r="D145" i="9"/>
  <c r="K145" i="9" s="1"/>
  <c r="O144" i="9"/>
  <c r="K144" i="9"/>
  <c r="J144" i="9"/>
  <c r="D143" i="9"/>
  <c r="L143" i="9" s="1"/>
  <c r="O142" i="9"/>
  <c r="D142" i="9"/>
  <c r="L142" i="9" s="1"/>
  <c r="O141" i="9"/>
  <c r="D141" i="9"/>
  <c r="L141" i="9" s="1"/>
  <c r="L140" i="9"/>
  <c r="K140" i="9"/>
  <c r="O139" i="9"/>
  <c r="J139" i="9"/>
  <c r="D139" i="9"/>
  <c r="L139" i="9" s="1"/>
  <c r="D138" i="9"/>
  <c r="K138" i="9" s="1"/>
  <c r="O137" i="9"/>
  <c r="L137" i="9"/>
  <c r="K137" i="9"/>
  <c r="J137" i="9"/>
  <c r="O136" i="9"/>
  <c r="J136" i="9"/>
  <c r="O135" i="9"/>
  <c r="K135" i="9"/>
  <c r="J135" i="9"/>
  <c r="O134" i="9"/>
  <c r="J134" i="9"/>
  <c r="D134" i="9"/>
  <c r="K134" i="9" s="1"/>
  <c r="O133" i="9"/>
  <c r="L133" i="9"/>
  <c r="K133" i="9"/>
  <c r="J133" i="9"/>
  <c r="O132" i="9"/>
  <c r="L132" i="9"/>
  <c r="K132" i="9"/>
  <c r="J132" i="9"/>
  <c r="D131" i="9"/>
  <c r="K131" i="9" s="1"/>
  <c r="O130" i="9"/>
  <c r="L130" i="9"/>
  <c r="K130" i="9"/>
  <c r="J130" i="9"/>
  <c r="D129" i="9"/>
  <c r="Q129" i="9" s="1"/>
  <c r="D128" i="9"/>
  <c r="Q128" i="9" s="1"/>
  <c r="O127" i="9"/>
  <c r="J127" i="9"/>
  <c r="O126" i="9"/>
  <c r="L126" i="9"/>
  <c r="K126" i="9"/>
  <c r="J126" i="9"/>
  <c r="J125" i="9"/>
  <c r="D125" i="9"/>
  <c r="L125" i="9" s="1"/>
  <c r="J124" i="9"/>
  <c r="D124" i="9"/>
  <c r="Q124" i="9" s="1"/>
  <c r="J123" i="9"/>
  <c r="D123" i="9"/>
  <c r="L123" i="9" s="1"/>
  <c r="K122" i="9"/>
  <c r="J122" i="9"/>
  <c r="L121" i="9"/>
  <c r="K121" i="9"/>
  <c r="J121" i="9"/>
  <c r="D120" i="9"/>
  <c r="L120" i="9" s="1"/>
  <c r="O119" i="9"/>
  <c r="J119" i="9"/>
  <c r="D119" i="9"/>
  <c r="D118" i="9"/>
  <c r="K118" i="9" s="1"/>
  <c r="AC145" i="8"/>
  <c r="AC146" i="8"/>
  <c r="AC147" i="8"/>
  <c r="AC148" i="8"/>
  <c r="AC149" i="8"/>
  <c r="AC150" i="8"/>
  <c r="AC151" i="8"/>
  <c r="AC152" i="8"/>
  <c r="AC153" i="8"/>
  <c r="AC154" i="8"/>
  <c r="AC155" i="8"/>
  <c r="AC156" i="8"/>
  <c r="AC157" i="8"/>
  <c r="AC158" i="8"/>
  <c r="AC159" i="8"/>
  <c r="AC160" i="8"/>
  <c r="AC161" i="8"/>
  <c r="AC162" i="8"/>
  <c r="AC163" i="8"/>
  <c r="AC164" i="8"/>
  <c r="AC165" i="8"/>
  <c r="AC166" i="8"/>
  <c r="AC167" i="8"/>
  <c r="AC168" i="8"/>
  <c r="AC169" i="8"/>
  <c r="AC170" i="8"/>
  <c r="AC171" i="8"/>
  <c r="AC172" i="8"/>
  <c r="AC173" i="8"/>
  <c r="AC174" i="8"/>
  <c r="AC175" i="8"/>
  <c r="AC176" i="8"/>
  <c r="AC177" i="8"/>
  <c r="AC178" i="8"/>
  <c r="AC179" i="8"/>
  <c r="AC180" i="8"/>
  <c r="AC181" i="8"/>
  <c r="AC182" i="8"/>
  <c r="AC183" i="8"/>
  <c r="AC184" i="8"/>
  <c r="AC185" i="8"/>
  <c r="AC186" i="8"/>
  <c r="AC187" i="8"/>
  <c r="AC188" i="8"/>
  <c r="AC189" i="8"/>
  <c r="AC190" i="8"/>
  <c r="AC191" i="8"/>
  <c r="AC192" i="8"/>
  <c r="AC193" i="8"/>
  <c r="AC194" i="8"/>
  <c r="AC195" i="8"/>
  <c r="AC196" i="8"/>
  <c r="AC197" i="8"/>
  <c r="AC198" i="8"/>
  <c r="AC202" i="8"/>
  <c r="AC207" i="8"/>
  <c r="AC208" i="8"/>
  <c r="AC209" i="8"/>
  <c r="AC210" i="8"/>
  <c r="AC211" i="8"/>
  <c r="AC213" i="8"/>
  <c r="AC215" i="8"/>
  <c r="AC217" i="8"/>
  <c r="AC144" i="8"/>
  <c r="H216" i="8"/>
  <c r="H214" i="8"/>
  <c r="H212" i="8"/>
  <c r="AC212" i="8" s="1"/>
  <c r="H206" i="8"/>
  <c r="H204" i="8"/>
  <c r="AC204" i="8" s="1"/>
  <c r="H203" i="8"/>
  <c r="H200" i="8"/>
  <c r="H201" i="8"/>
  <c r="AC201" i="8" s="1"/>
  <c r="H199" i="8"/>
  <c r="AC199" i="8" s="1"/>
  <c r="G198" i="8"/>
  <c r="Y145" i="8"/>
  <c r="Y146" i="8"/>
  <c r="Y147" i="8"/>
  <c r="AA147" i="8" s="1"/>
  <c r="Z147" i="8" s="1"/>
  <c r="Y148" i="8"/>
  <c r="AA148" i="8" s="1"/>
  <c r="Z148" i="8" s="1"/>
  <c r="Y149" i="8"/>
  <c r="Y150" i="8"/>
  <c r="AA150" i="8" s="1"/>
  <c r="Z150" i="8" s="1"/>
  <c r="Y151" i="8"/>
  <c r="AA151" i="8" s="1"/>
  <c r="Z151" i="8" s="1"/>
  <c r="Y152" i="8"/>
  <c r="AA152" i="8" s="1"/>
  <c r="Z152" i="8" s="1"/>
  <c r="Y153" i="8"/>
  <c r="Y154" i="8"/>
  <c r="AA154" i="8" s="1"/>
  <c r="Z154" i="8" s="1"/>
  <c r="Y155" i="8"/>
  <c r="AA155" i="8" s="1"/>
  <c r="Z155" i="8" s="1"/>
  <c r="Y156" i="8"/>
  <c r="AA156" i="8" s="1"/>
  <c r="Z156" i="8" s="1"/>
  <c r="Y157" i="8"/>
  <c r="Y158" i="8"/>
  <c r="Y159" i="8"/>
  <c r="AA159" i="8" s="1"/>
  <c r="Z159" i="8" s="1"/>
  <c r="Y160" i="8"/>
  <c r="AA160" i="8" s="1"/>
  <c r="Z160" i="8" s="1"/>
  <c r="Y161" i="8"/>
  <c r="AA161" i="8" s="1"/>
  <c r="Z161" i="8" s="1"/>
  <c r="Y162" i="8"/>
  <c r="AA162" i="8" s="1"/>
  <c r="Z162" i="8" s="1"/>
  <c r="Y163" i="8"/>
  <c r="AA163" i="8" s="1"/>
  <c r="Z163" i="8" s="1"/>
  <c r="Y164" i="8"/>
  <c r="Y165" i="8"/>
  <c r="AA165" i="8" s="1"/>
  <c r="Z165" i="8" s="1"/>
  <c r="Y166" i="8"/>
  <c r="AA166" i="8" s="1"/>
  <c r="Z166" i="8" s="1"/>
  <c r="Y167" i="8"/>
  <c r="AA167" i="8" s="1"/>
  <c r="Z167" i="8" s="1"/>
  <c r="Y168" i="8"/>
  <c r="Y169" i="8"/>
  <c r="Y170" i="8"/>
  <c r="AA170" i="8" s="1"/>
  <c r="Z170" i="8" s="1"/>
  <c r="Y171" i="8"/>
  <c r="AA171" i="8" s="1"/>
  <c r="Z171" i="8" s="1"/>
  <c r="Y172" i="8"/>
  <c r="AA172" i="8" s="1"/>
  <c r="Z172" i="8" s="1"/>
  <c r="Y173" i="8"/>
  <c r="AA173" i="8" s="1"/>
  <c r="Z173" i="8" s="1"/>
  <c r="Y174" i="8"/>
  <c r="AA174" i="8" s="1"/>
  <c r="Z174" i="8" s="1"/>
  <c r="Y175" i="8"/>
  <c r="AA175" i="8" s="1"/>
  <c r="Z175" i="8" s="1"/>
  <c r="Y176" i="8"/>
  <c r="AA176" i="8" s="1"/>
  <c r="Z176" i="8" s="1"/>
  <c r="Y177" i="8"/>
  <c r="AA177" i="8" s="1"/>
  <c r="Z177" i="8" s="1"/>
  <c r="Y178" i="8"/>
  <c r="AA178" i="8" s="1"/>
  <c r="Z178" i="8" s="1"/>
  <c r="Y179" i="8"/>
  <c r="AA179" i="8" s="1"/>
  <c r="Z179" i="8" s="1"/>
  <c r="Y180" i="8"/>
  <c r="AA180" i="8" s="1"/>
  <c r="Z180" i="8" s="1"/>
  <c r="Y181" i="8"/>
  <c r="AA181" i="8" s="1"/>
  <c r="Z181" i="8" s="1"/>
  <c r="Y182" i="8"/>
  <c r="AA182" i="8" s="1"/>
  <c r="Z182" i="8" s="1"/>
  <c r="Y183" i="8"/>
  <c r="AA183" i="8" s="1"/>
  <c r="Z183" i="8" s="1"/>
  <c r="Y184" i="8"/>
  <c r="AA184" i="8" s="1"/>
  <c r="Z184" i="8" s="1"/>
  <c r="Y185" i="8"/>
  <c r="AA185" i="8" s="1"/>
  <c r="Z185" i="8" s="1"/>
  <c r="Y186" i="8"/>
  <c r="AA186" i="8" s="1"/>
  <c r="Z186" i="8" s="1"/>
  <c r="Y187" i="8"/>
  <c r="AA187" i="8" s="1"/>
  <c r="Z187" i="8" s="1"/>
  <c r="Y188" i="8"/>
  <c r="Y189" i="8"/>
  <c r="AA189" i="8" s="1"/>
  <c r="Z189" i="8" s="1"/>
  <c r="Y190" i="8"/>
  <c r="AA190" i="8" s="1"/>
  <c r="Z190" i="8" s="1"/>
  <c r="Y191" i="8"/>
  <c r="AA191" i="8" s="1"/>
  <c r="Z191" i="8" s="1"/>
  <c r="Y192" i="8"/>
  <c r="AA192" i="8" s="1"/>
  <c r="Z192" i="8" s="1"/>
  <c r="Y193" i="8"/>
  <c r="AA193" i="8" s="1"/>
  <c r="Z193" i="8" s="1"/>
  <c r="Y194" i="8"/>
  <c r="AA194" i="8" s="1"/>
  <c r="Z194" i="8" s="1"/>
  <c r="Y195" i="8"/>
  <c r="AA195" i="8" s="1"/>
  <c r="Y196" i="8"/>
  <c r="AA196" i="8" s="1"/>
  <c r="Z196" i="8" s="1"/>
  <c r="Y197" i="8"/>
  <c r="AA197" i="8" s="1"/>
  <c r="Z197" i="8" s="1"/>
  <c r="Y199" i="8"/>
  <c r="AA199" i="8" s="1"/>
  <c r="Z199" i="8" s="1"/>
  <c r="Y200" i="8"/>
  <c r="AA200" i="8" s="1"/>
  <c r="Z200" i="8" s="1"/>
  <c r="Y201" i="8"/>
  <c r="AA201" i="8" s="1"/>
  <c r="Y202" i="8"/>
  <c r="Y204" i="8"/>
  <c r="AA204" i="8" s="1"/>
  <c r="Z204" i="8" s="1"/>
  <c r="AA205" i="8"/>
  <c r="Y207" i="8"/>
  <c r="AA207" i="8" s="1"/>
  <c r="Z207" i="8" s="1"/>
  <c r="Y208" i="8"/>
  <c r="AA208" i="8" s="1"/>
  <c r="Z208" i="8" s="1"/>
  <c r="Y209" i="8"/>
  <c r="AA209" i="8" s="1"/>
  <c r="Z209" i="8" s="1"/>
  <c r="Y210" i="8"/>
  <c r="AA210" i="8" s="1"/>
  <c r="Z210" i="8" s="1"/>
  <c r="Y211" i="8"/>
  <c r="AA211" i="8" s="1"/>
  <c r="Z211" i="8" s="1"/>
  <c r="Y212" i="8"/>
  <c r="AA212" i="8" s="1"/>
  <c r="Z212" i="8" s="1"/>
  <c r="Y213" i="8"/>
  <c r="AA213" i="8" s="1"/>
  <c r="Z213" i="8" s="1"/>
  <c r="Y214" i="8"/>
  <c r="AA214" i="8" s="1"/>
  <c r="Y215" i="8"/>
  <c r="AA215" i="8" s="1"/>
  <c r="Z215" i="8" s="1"/>
  <c r="Y216" i="8"/>
  <c r="AA216" i="8" s="1"/>
  <c r="Z216" i="8" s="1"/>
  <c r="Y217" i="8"/>
  <c r="AA217" i="8" s="1"/>
  <c r="Z217" i="8" s="1"/>
  <c r="Y144" i="8"/>
  <c r="AA144" i="8" s="1"/>
  <c r="Z144" i="8" s="1"/>
  <c r="AA145" i="8"/>
  <c r="Z145" i="8" s="1"/>
  <c r="AA146" i="8"/>
  <c r="Z146" i="8" s="1"/>
  <c r="AA149" i="8"/>
  <c r="Z149" i="8" s="1"/>
  <c r="AA153" i="8"/>
  <c r="Z153" i="8" s="1"/>
  <c r="AA157" i="8"/>
  <c r="Z157" i="8" s="1"/>
  <c r="AA158" i="8"/>
  <c r="Z158" i="8" s="1"/>
  <c r="AA164" i="8"/>
  <c r="Z164" i="8" s="1"/>
  <c r="AA168" i="8"/>
  <c r="Z168" i="8" s="1"/>
  <c r="AA169" i="8"/>
  <c r="Z169" i="8" s="1"/>
  <c r="AA188" i="8"/>
  <c r="Z188" i="8" s="1"/>
  <c r="AA198" i="8"/>
  <c r="AA202" i="8"/>
  <c r="Z202" i="8" s="1"/>
  <c r="L217" i="8"/>
  <c r="L215" i="8"/>
  <c r="L213" i="8"/>
  <c r="L212" i="8"/>
  <c r="V206" i="8"/>
  <c r="V204" i="8"/>
  <c r="V203" i="8"/>
  <c r="L202" i="8"/>
  <c r="V201" i="8"/>
  <c r="L198" i="8"/>
  <c r="V197" i="8"/>
  <c r="L197" i="8"/>
  <c r="L196" i="8"/>
  <c r="L192" i="8"/>
  <c r="V191" i="8"/>
  <c r="L191" i="8"/>
  <c r="L190" i="8"/>
  <c r="V189" i="8"/>
  <c r="L189" i="8"/>
  <c r="L188" i="8"/>
  <c r="L187" i="8"/>
  <c r="L186" i="8"/>
  <c r="L185" i="8"/>
  <c r="L182" i="8"/>
  <c r="L180" i="8"/>
  <c r="L179" i="8"/>
  <c r="L178" i="8"/>
  <c r="L177" i="8"/>
  <c r="L176" i="8"/>
  <c r="L175" i="8"/>
  <c r="L174" i="8"/>
  <c r="L173" i="8"/>
  <c r="V172" i="8"/>
  <c r="L172" i="8"/>
  <c r="L171" i="8"/>
  <c r="V170" i="8"/>
  <c r="L170" i="8"/>
  <c r="V169" i="8"/>
  <c r="L169" i="8"/>
  <c r="L168" i="8"/>
  <c r="L167" i="8"/>
  <c r="V166" i="8"/>
  <c r="L166" i="8"/>
  <c r="V165" i="8"/>
  <c r="L165" i="8"/>
  <c r="L164" i="8"/>
  <c r="L163" i="8"/>
  <c r="L162" i="8"/>
  <c r="V161" i="8"/>
  <c r="L161" i="8"/>
  <c r="V160" i="8"/>
  <c r="L160" i="8"/>
  <c r="V159" i="8"/>
  <c r="L159" i="8"/>
  <c r="V158" i="8"/>
  <c r="L158" i="8"/>
  <c r="V157" i="8"/>
  <c r="L157" i="8"/>
  <c r="V156" i="8"/>
  <c r="L156" i="8"/>
  <c r="V155" i="8"/>
  <c r="L155" i="8"/>
  <c r="V154" i="8"/>
  <c r="L154" i="8"/>
  <c r="L153" i="8"/>
  <c r="V152" i="8"/>
  <c r="L152" i="8"/>
  <c r="V151" i="8"/>
  <c r="L151" i="8"/>
  <c r="V150" i="8"/>
  <c r="L150" i="8"/>
  <c r="V149" i="8"/>
  <c r="L149" i="8"/>
  <c r="V148" i="8"/>
  <c r="L148" i="8"/>
  <c r="V147" i="8"/>
  <c r="L147" i="8"/>
  <c r="V146" i="8"/>
  <c r="L146" i="8"/>
  <c r="V145" i="8"/>
  <c r="L145" i="8"/>
  <c r="V144" i="8"/>
  <c r="L144" i="8"/>
  <c r="Q119" i="9" l="1"/>
  <c r="K119" i="9"/>
  <c r="K136" i="9"/>
  <c r="Q134" i="9"/>
  <c r="Q142" i="9"/>
  <c r="Q125" i="9"/>
  <c r="Y203" i="8"/>
  <c r="AA203" i="8" s="1"/>
  <c r="Z203" i="8" s="1"/>
  <c r="AC203" i="8"/>
  <c r="Y206" i="8"/>
  <c r="AA206" i="8" s="1"/>
  <c r="Z206" i="8" s="1"/>
  <c r="Q148" i="9"/>
  <c r="Q157" i="9"/>
  <c r="Q147" i="9"/>
  <c r="Q139" i="9"/>
  <c r="Q131" i="9"/>
  <c r="Q123" i="9"/>
  <c r="Q138" i="9"/>
  <c r="Q155" i="9"/>
  <c r="Q145" i="9"/>
  <c r="Q141" i="9"/>
  <c r="L134" i="9"/>
  <c r="Q163" i="9"/>
  <c r="Q154" i="9"/>
  <c r="Q120" i="9"/>
  <c r="Q159" i="9"/>
  <c r="Q143" i="9"/>
  <c r="Q127" i="9"/>
  <c r="K127" i="9"/>
  <c r="K147" i="9"/>
  <c r="K157" i="9"/>
  <c r="K153" i="9"/>
  <c r="K158" i="9"/>
  <c r="K156" i="9"/>
  <c r="K150" i="9"/>
  <c r="K139" i="9"/>
  <c r="K120" i="9"/>
  <c r="K129" i="9"/>
  <c r="K142" i="9"/>
  <c r="K123" i="9"/>
  <c r="K125" i="9"/>
  <c r="K128" i="9"/>
  <c r="K141" i="9"/>
  <c r="K143" i="9"/>
  <c r="K149" i="9"/>
  <c r="K124" i="9"/>
  <c r="K154" i="9"/>
  <c r="AC206" i="8"/>
  <c r="AC200" i="8"/>
  <c r="AC216" i="8"/>
  <c r="Z214" i="8"/>
  <c r="AC214" i="8"/>
  <c r="Z201" i="8"/>
  <c r="Z116" i="6" l="1"/>
  <c r="K116" i="6"/>
  <c r="N116" i="6"/>
  <c r="T116" i="6"/>
  <c r="G117" i="6"/>
  <c r="K117" i="6"/>
  <c r="N117" i="6"/>
  <c r="O117" i="6" s="1"/>
  <c r="K118" i="6"/>
  <c r="N118" i="6"/>
  <c r="T118" i="6"/>
  <c r="G119" i="6"/>
  <c r="K119" i="6"/>
  <c r="N119" i="6"/>
  <c r="O119" i="6" s="1"/>
  <c r="T119" i="6"/>
  <c r="K120" i="6"/>
  <c r="N120" i="6"/>
  <c r="T120" i="6"/>
  <c r="K121" i="6"/>
  <c r="L121" i="6"/>
  <c r="N121" i="6"/>
  <c r="T121" i="6"/>
  <c r="K122" i="6"/>
  <c r="N122" i="6"/>
  <c r="K123" i="6"/>
  <c r="L123" i="6"/>
  <c r="N123" i="6"/>
  <c r="T123" i="6"/>
  <c r="G124" i="6"/>
  <c r="N124" i="6"/>
  <c r="O124" i="6" s="1"/>
  <c r="T124" i="6"/>
  <c r="G125" i="6"/>
  <c r="K125" i="6"/>
  <c r="N125" i="6"/>
  <c r="O125" i="6" s="1"/>
  <c r="G126" i="6"/>
  <c r="N126" i="6"/>
  <c r="O126" i="6" s="1"/>
  <c r="P126" i="6" s="1"/>
  <c r="AG126" i="6" s="1"/>
  <c r="G127" i="6"/>
  <c r="N127" i="6"/>
  <c r="O127" i="6" s="1"/>
  <c r="T127" i="6"/>
  <c r="G128" i="6"/>
  <c r="K128" i="6"/>
  <c r="N128" i="6"/>
  <c r="O128" i="6" s="1"/>
  <c r="Q128" i="6" s="1"/>
  <c r="T128" i="6"/>
  <c r="G129" i="6"/>
  <c r="N129" i="6"/>
  <c r="O129" i="6" s="1"/>
  <c r="T129" i="6"/>
  <c r="G130" i="6"/>
  <c r="N130" i="6"/>
  <c r="O130" i="6" s="1"/>
  <c r="T130" i="6"/>
  <c r="K131" i="6"/>
  <c r="N131" i="6"/>
  <c r="T131" i="6"/>
  <c r="G132" i="6"/>
  <c r="K132" i="6"/>
  <c r="N132" i="6"/>
  <c r="O132" i="6" s="1"/>
  <c r="P132" i="6" s="1"/>
  <c r="AG132" i="6" s="1"/>
  <c r="T132" i="6"/>
  <c r="K133" i="6"/>
  <c r="N133" i="6"/>
  <c r="T133" i="6"/>
  <c r="G134" i="6"/>
  <c r="K134" i="6"/>
  <c r="N134" i="6"/>
  <c r="O134" i="6" s="1"/>
  <c r="Q134" i="6" s="1"/>
  <c r="T134" i="6"/>
  <c r="K135" i="6"/>
  <c r="N135" i="6"/>
  <c r="T135" i="6"/>
  <c r="G136" i="6"/>
  <c r="K136" i="6"/>
  <c r="N136" i="6"/>
  <c r="O136" i="6" s="1"/>
  <c r="T136" i="6"/>
  <c r="G137" i="6"/>
  <c r="K137" i="6"/>
  <c r="N137" i="6"/>
  <c r="O137" i="6" s="1"/>
  <c r="T137" i="6"/>
  <c r="K138" i="6"/>
  <c r="N138" i="6"/>
  <c r="T138" i="6"/>
  <c r="K139" i="6"/>
  <c r="N139" i="6"/>
  <c r="T139" i="6"/>
  <c r="G140" i="6"/>
  <c r="K140" i="6"/>
  <c r="N140" i="6"/>
  <c r="O140" i="6" s="1"/>
  <c r="T140" i="6"/>
  <c r="K141" i="6"/>
  <c r="N141" i="6"/>
  <c r="T141" i="6"/>
  <c r="G142" i="6"/>
  <c r="K142" i="6"/>
  <c r="N142" i="6"/>
  <c r="O142" i="6" s="1"/>
  <c r="T142" i="6"/>
  <c r="G143" i="6"/>
  <c r="K143" i="6"/>
  <c r="N143" i="6"/>
  <c r="O143" i="6" s="1"/>
  <c r="AE144" i="6"/>
  <c r="AC144" i="6"/>
  <c r="AB144" i="6"/>
  <c r="AA144" i="6"/>
  <c r="Z144" i="6"/>
  <c r="Y144" i="6"/>
  <c r="X144" i="6"/>
  <c r="W144" i="6"/>
  <c r="T144" i="6"/>
  <c r="N144" i="6"/>
  <c r="O144" i="6" s="1"/>
  <c r="K144" i="6"/>
  <c r="G144" i="6"/>
  <c r="AE143" i="6"/>
  <c r="AC143" i="6"/>
  <c r="AB143" i="6"/>
  <c r="AA143" i="6"/>
  <c r="Z143" i="6"/>
  <c r="Y143" i="6"/>
  <c r="X143" i="6"/>
  <c r="W143" i="6"/>
  <c r="AE142" i="6"/>
  <c r="AC142" i="6"/>
  <c r="AB142" i="6"/>
  <c r="AA142" i="6"/>
  <c r="Z142" i="6"/>
  <c r="Y142" i="6"/>
  <c r="X142" i="6"/>
  <c r="W142" i="6"/>
  <c r="AE141" i="6"/>
  <c r="AC141" i="6"/>
  <c r="AB141" i="6"/>
  <c r="AA141" i="6"/>
  <c r="Z141" i="6"/>
  <c r="Y141" i="6"/>
  <c r="X141" i="6"/>
  <c r="W141" i="6"/>
  <c r="AE140" i="6"/>
  <c r="AC140" i="6"/>
  <c r="AB140" i="6"/>
  <c r="AA140" i="6"/>
  <c r="Z140" i="6"/>
  <c r="Y140" i="6"/>
  <c r="X140" i="6"/>
  <c r="W140" i="6"/>
  <c r="AE139" i="6"/>
  <c r="AC139" i="6"/>
  <c r="AB139" i="6"/>
  <c r="AA139" i="6"/>
  <c r="Z139" i="6"/>
  <c r="Y139" i="6"/>
  <c r="X139" i="6"/>
  <c r="W139" i="6"/>
  <c r="AE138" i="6"/>
  <c r="AC138" i="6"/>
  <c r="AB138" i="6"/>
  <c r="AA138" i="6"/>
  <c r="Z138" i="6"/>
  <c r="Y138" i="6"/>
  <c r="X138" i="6"/>
  <c r="W138" i="6"/>
  <c r="AE137" i="6"/>
  <c r="AC137" i="6"/>
  <c r="AB137" i="6"/>
  <c r="AA137" i="6"/>
  <c r="Z137" i="6"/>
  <c r="Y137" i="6"/>
  <c r="X137" i="6"/>
  <c r="W137" i="6"/>
  <c r="AE136" i="6"/>
  <c r="AC136" i="6"/>
  <c r="AB136" i="6"/>
  <c r="AA136" i="6"/>
  <c r="Z136" i="6"/>
  <c r="Y136" i="6"/>
  <c r="X136" i="6"/>
  <c r="W136" i="6"/>
  <c r="AE135" i="6"/>
  <c r="AC135" i="6"/>
  <c r="AB135" i="6"/>
  <c r="AA135" i="6"/>
  <c r="Z135" i="6"/>
  <c r="Y135" i="6"/>
  <c r="X135" i="6"/>
  <c r="W135" i="6"/>
  <c r="AE134" i="6"/>
  <c r="AC134" i="6"/>
  <c r="AB134" i="6"/>
  <c r="AA134" i="6"/>
  <c r="Z134" i="6"/>
  <c r="Y134" i="6"/>
  <c r="X134" i="6"/>
  <c r="W134" i="6"/>
  <c r="AE133" i="6"/>
  <c r="AC133" i="6"/>
  <c r="AB133" i="6"/>
  <c r="AA133" i="6"/>
  <c r="Z133" i="6"/>
  <c r="Y133" i="6"/>
  <c r="X133" i="6"/>
  <c r="W133" i="6"/>
  <c r="AE132" i="6"/>
  <c r="AC132" i="6"/>
  <c r="AB132" i="6"/>
  <c r="AA132" i="6"/>
  <c r="Z132" i="6"/>
  <c r="Y132" i="6"/>
  <c r="X132" i="6"/>
  <c r="W132" i="6"/>
  <c r="AE131" i="6"/>
  <c r="AC131" i="6"/>
  <c r="AB131" i="6"/>
  <c r="AA131" i="6"/>
  <c r="Z131" i="6"/>
  <c r="Y131" i="6"/>
  <c r="X131" i="6"/>
  <c r="W131" i="6"/>
  <c r="AE130" i="6"/>
  <c r="AC130" i="6"/>
  <c r="AB130" i="6"/>
  <c r="AA130" i="6"/>
  <c r="Z130" i="6"/>
  <c r="Y130" i="6"/>
  <c r="X130" i="6"/>
  <c r="W130" i="6"/>
  <c r="AE129" i="6"/>
  <c r="AC129" i="6"/>
  <c r="AB129" i="6"/>
  <c r="AA129" i="6"/>
  <c r="Z129" i="6"/>
  <c r="Y129" i="6"/>
  <c r="X129" i="6"/>
  <c r="W129" i="6"/>
  <c r="AE128" i="6"/>
  <c r="AC128" i="6"/>
  <c r="AB128" i="6"/>
  <c r="AA128" i="6"/>
  <c r="Z128" i="6"/>
  <c r="Y128" i="6"/>
  <c r="X128" i="6"/>
  <c r="W128" i="6"/>
  <c r="AE127" i="6"/>
  <c r="AC127" i="6"/>
  <c r="AB127" i="6"/>
  <c r="AA127" i="6"/>
  <c r="Z127" i="6"/>
  <c r="Y127" i="6"/>
  <c r="X127" i="6"/>
  <c r="W127" i="6"/>
  <c r="AE126" i="6"/>
  <c r="AC126" i="6"/>
  <c r="Z126" i="6"/>
  <c r="Y126" i="6"/>
  <c r="X126" i="6"/>
  <c r="W126" i="6"/>
  <c r="AE125" i="6"/>
  <c r="AC125" i="6"/>
  <c r="Z125" i="6"/>
  <c r="Y125" i="6"/>
  <c r="X125" i="6"/>
  <c r="W125" i="6"/>
  <c r="AE124" i="6"/>
  <c r="AC124" i="6"/>
  <c r="AB124" i="6"/>
  <c r="AA124" i="6"/>
  <c r="Z124" i="6"/>
  <c r="Y124" i="6"/>
  <c r="X124" i="6"/>
  <c r="W124" i="6"/>
  <c r="AE123" i="6"/>
  <c r="AC123" i="6"/>
  <c r="AB123" i="6"/>
  <c r="AA123" i="6"/>
  <c r="Z123" i="6"/>
  <c r="Y123" i="6"/>
  <c r="X123" i="6"/>
  <c r="W123" i="6"/>
  <c r="AE122" i="6"/>
  <c r="AC122" i="6"/>
  <c r="Z122" i="6"/>
  <c r="Y122" i="6"/>
  <c r="X122" i="6"/>
  <c r="W122" i="6"/>
  <c r="AE121" i="6"/>
  <c r="AC121" i="6"/>
  <c r="AB121" i="6"/>
  <c r="AA121" i="6"/>
  <c r="Z121" i="6"/>
  <c r="Y121" i="6"/>
  <c r="X121" i="6"/>
  <c r="W121" i="6"/>
  <c r="AE120" i="6"/>
  <c r="AC120" i="6"/>
  <c r="AB120" i="6"/>
  <c r="AA120" i="6"/>
  <c r="Z120" i="6"/>
  <c r="Y120" i="6"/>
  <c r="X120" i="6"/>
  <c r="W120" i="6"/>
  <c r="AE119" i="6"/>
  <c r="AC119" i="6"/>
  <c r="AB119" i="6"/>
  <c r="AA119" i="6"/>
  <c r="Z119" i="6"/>
  <c r="Y119" i="6"/>
  <c r="X119" i="6"/>
  <c r="W119" i="6"/>
  <c r="AE118" i="6"/>
  <c r="AC118" i="6"/>
  <c r="AB118" i="6"/>
  <c r="AA118" i="6"/>
  <c r="Z118" i="6"/>
  <c r="Y118" i="6"/>
  <c r="X118" i="6"/>
  <c r="W118" i="6"/>
  <c r="AE117" i="6"/>
  <c r="AC117" i="6"/>
  <c r="AB117" i="6"/>
  <c r="AA117" i="6"/>
  <c r="Z117" i="6"/>
  <c r="Y117" i="6"/>
  <c r="X117" i="6"/>
  <c r="W117" i="6"/>
  <c r="AE116" i="6"/>
  <c r="AC116" i="6"/>
  <c r="AB116" i="6"/>
  <c r="AA116" i="6"/>
  <c r="Y116" i="6"/>
  <c r="X116" i="6"/>
  <c r="W116" i="6"/>
  <c r="I109" i="3"/>
  <c r="I173" i="3"/>
  <c r="I164" i="3"/>
  <c r="I198" i="3"/>
  <c r="I218" i="3"/>
  <c r="I185" i="3"/>
  <c r="I188" i="3"/>
  <c r="I190" i="3"/>
  <c r="I153" i="3"/>
  <c r="I147" i="3"/>
  <c r="I117" i="3"/>
  <c r="I122" i="3"/>
  <c r="I128" i="3"/>
  <c r="I130" i="3"/>
  <c r="AE188" i="3"/>
  <c r="AE147" i="3"/>
  <c r="AE109" i="3"/>
  <c r="AE173" i="3"/>
  <c r="AE198" i="3"/>
  <c r="AE218" i="3"/>
  <c r="AE185" i="3"/>
  <c r="AE190" i="3"/>
  <c r="AE153" i="3"/>
  <c r="AE122" i="3"/>
  <c r="AE128" i="3"/>
  <c r="AE130" i="3"/>
  <c r="I141" i="3"/>
  <c r="I208" i="3"/>
  <c r="I104" i="3"/>
  <c r="I105" i="3"/>
  <c r="I135" i="3"/>
  <c r="I155" i="3"/>
  <c r="AC155" i="3"/>
  <c r="AC135" i="3"/>
  <c r="AD135" i="3" s="1"/>
  <c r="AC233" i="3"/>
  <c r="D233" i="3"/>
  <c r="F233" i="3" s="1"/>
  <c r="I233" i="3" s="1"/>
  <c r="AC105" i="3"/>
  <c r="AC104" i="3"/>
  <c r="AD104" i="3" s="1"/>
  <c r="AC208" i="3"/>
  <c r="D208" i="3"/>
  <c r="AC141" i="3"/>
  <c r="AD141" i="3" s="1"/>
  <c r="I174" i="3"/>
  <c r="AE174" i="3"/>
  <c r="I180" i="3"/>
  <c r="AE180" i="3"/>
  <c r="I202" i="3"/>
  <c r="AE202" i="3"/>
  <c r="I238" i="3"/>
  <c r="AE238" i="3"/>
  <c r="I123" i="3"/>
  <c r="AE123" i="3"/>
  <c r="I159" i="3"/>
  <c r="AE159" i="3"/>
  <c r="I160" i="3"/>
  <c r="AE160" i="3"/>
  <c r="I169" i="3"/>
  <c r="AE169" i="3"/>
  <c r="I224" i="3"/>
  <c r="AE224" i="3"/>
  <c r="I110" i="3"/>
  <c r="AE110" i="3"/>
  <c r="I200" i="3"/>
  <c r="AE200" i="3"/>
  <c r="I239" i="3"/>
  <c r="AE239" i="3"/>
  <c r="I179" i="3"/>
  <c r="AC179" i="3"/>
  <c r="I201" i="3"/>
  <c r="AC201" i="3"/>
  <c r="F206" i="3"/>
  <c r="I206" i="3" s="1"/>
  <c r="AC206" i="3"/>
  <c r="I212" i="3"/>
  <c r="AC212" i="3"/>
  <c r="I107" i="3"/>
  <c r="AC107" i="3"/>
  <c r="I161" i="3"/>
  <c r="AC161" i="3"/>
  <c r="I187" i="3"/>
  <c r="AC187" i="3"/>
  <c r="I197" i="3"/>
  <c r="AC197" i="3"/>
  <c r="I216" i="3"/>
  <c r="AC216" i="3"/>
  <c r="I113" i="3"/>
  <c r="AC113" i="3"/>
  <c r="I126" i="3"/>
  <c r="AC126" i="3"/>
  <c r="I127" i="3"/>
  <c r="AC127" i="3"/>
  <c r="I146" i="3"/>
  <c r="AC146" i="3"/>
  <c r="I184" i="3"/>
  <c r="AC184" i="3"/>
  <c r="D214" i="3"/>
  <c r="I214" i="3"/>
  <c r="J214" i="3"/>
  <c r="AC214" i="3"/>
  <c r="AD214" i="3" s="1"/>
  <c r="I121" i="3"/>
  <c r="AC121" i="3"/>
  <c r="I129" i="3"/>
  <c r="AC129" i="3"/>
  <c r="I145" i="3"/>
  <c r="AC145" i="3"/>
  <c r="D176" i="3"/>
  <c r="I176" i="3"/>
  <c r="AC176" i="3"/>
  <c r="I108" i="3"/>
  <c r="AC108" i="3"/>
  <c r="AD108" i="3" s="1"/>
  <c r="I182" i="3"/>
  <c r="AC182" i="3"/>
  <c r="AD182" i="3" s="1"/>
  <c r="I199" i="3"/>
  <c r="AC199" i="3"/>
  <c r="AD199" i="3" s="1"/>
  <c r="D207" i="3"/>
  <c r="I207" i="3"/>
  <c r="AC207" i="3"/>
  <c r="D211" i="3"/>
  <c r="I211" i="3"/>
  <c r="AC211" i="3"/>
  <c r="AD211" i="3" s="1"/>
  <c r="I221" i="3"/>
  <c r="AC221" i="3"/>
  <c r="AD221" i="3" s="1"/>
  <c r="D232" i="3"/>
  <c r="I232" i="3"/>
  <c r="AC232" i="3"/>
  <c r="I116" i="3"/>
  <c r="AC116" i="3"/>
  <c r="I170" i="3"/>
  <c r="AC170" i="3"/>
  <c r="I189" i="3"/>
  <c r="AC189" i="3"/>
  <c r="D204" i="3"/>
  <c r="I204" i="3"/>
  <c r="AC204" i="3"/>
  <c r="AD204" i="3" s="1"/>
  <c r="D231" i="3"/>
  <c r="F231" i="3" s="1"/>
  <c r="AC231" i="3"/>
  <c r="AD231" i="3" s="1"/>
  <c r="I163" i="3"/>
  <c r="AC163" i="3"/>
  <c r="AD163" i="3" s="1"/>
  <c r="I186" i="3"/>
  <c r="AC186" i="3"/>
  <c r="AD186" i="3" s="1"/>
  <c r="I119" i="3"/>
  <c r="AC119" i="3"/>
  <c r="I149" i="3"/>
  <c r="AC149" i="3"/>
  <c r="AD149" i="3" s="1"/>
  <c r="I151" i="3"/>
  <c r="AC151" i="3"/>
  <c r="I172" i="3"/>
  <c r="AC172" i="3"/>
  <c r="AD172" i="3" s="1"/>
  <c r="D210" i="3"/>
  <c r="I210" i="3"/>
  <c r="AC210" i="3"/>
  <c r="I156" i="3"/>
  <c r="AC156" i="3"/>
  <c r="I158" i="3"/>
  <c r="AC158" i="3"/>
  <c r="I148" i="3"/>
  <c r="AC148" i="3"/>
  <c r="I112" i="3"/>
  <c r="AC112" i="3"/>
  <c r="I137" i="3"/>
  <c r="AC137" i="3"/>
  <c r="I144" i="3"/>
  <c r="AC144" i="3"/>
  <c r="I168" i="3"/>
  <c r="AC168" i="3"/>
  <c r="I209" i="3"/>
  <c r="AC209" i="3"/>
  <c r="I140" i="3"/>
  <c r="AC140" i="3"/>
  <c r="I178" i="3"/>
  <c r="AC178" i="3"/>
  <c r="I205" i="3"/>
  <c r="AC205" i="3"/>
  <c r="I226" i="3"/>
  <c r="AC226" i="3"/>
  <c r="D241" i="3"/>
  <c r="I241" i="3"/>
  <c r="AC241" i="3"/>
  <c r="I114" i="3"/>
  <c r="AC114" i="3"/>
  <c r="I120" i="3"/>
  <c r="AC120" i="3"/>
  <c r="I138" i="3"/>
  <c r="AC138" i="3"/>
  <c r="AD138" i="3" s="1"/>
  <c r="I195" i="3"/>
  <c r="AC195" i="3"/>
  <c r="AD195" i="3" s="1"/>
  <c r="I223" i="3"/>
  <c r="AC223" i="3"/>
  <c r="AD223" i="3" s="1"/>
  <c r="I237" i="3"/>
  <c r="AC237" i="3"/>
  <c r="AD237" i="3" s="1"/>
  <c r="I106" i="3"/>
  <c r="AC106" i="3"/>
  <c r="AD106" i="3" s="1"/>
  <c r="I131" i="3"/>
  <c r="AC131" i="3"/>
  <c r="D177" i="3"/>
  <c r="I177" i="3"/>
  <c r="AC177" i="3"/>
  <c r="I217" i="3"/>
  <c r="AC217" i="3"/>
  <c r="I225" i="3"/>
  <c r="AC225" i="3"/>
  <c r="I234" i="3"/>
  <c r="AC234" i="3"/>
  <c r="D243" i="3"/>
  <c r="F243" i="3" s="1"/>
  <c r="AC243" i="3"/>
  <c r="I111" i="3"/>
  <c r="AC111" i="3"/>
  <c r="I132" i="3"/>
  <c r="AC132" i="3"/>
  <c r="I152" i="3"/>
  <c r="AC152" i="3"/>
  <c r="D193" i="3"/>
  <c r="I193" i="3"/>
  <c r="AC193" i="3"/>
  <c r="AD193" i="3" s="1"/>
  <c r="D227" i="3"/>
  <c r="AC227" i="3"/>
  <c r="I154" i="3"/>
  <c r="AC154" i="3"/>
  <c r="I171" i="3"/>
  <c r="AC171" i="3"/>
  <c r="I194" i="3"/>
  <c r="AC194" i="3"/>
  <c r="AD194" i="3" s="1"/>
  <c r="I242" i="3"/>
  <c r="AC242" i="3"/>
  <c r="AD242" i="3" s="1"/>
  <c r="I133" i="3"/>
  <c r="AC133" i="3"/>
  <c r="AD133" i="3" s="1"/>
  <c r="I157" i="3"/>
  <c r="AC157" i="3"/>
  <c r="F165" i="3"/>
  <c r="I165" i="3" s="1"/>
  <c r="AC165" i="3"/>
  <c r="D213" i="3"/>
  <c r="I213" i="3"/>
  <c r="AC213" i="3"/>
  <c r="I240" i="3"/>
  <c r="AC240" i="3"/>
  <c r="I143" i="3"/>
  <c r="AC143" i="3"/>
  <c r="I150" i="3"/>
  <c r="AC150" i="3"/>
  <c r="I115" i="3"/>
  <c r="AC115" i="3"/>
  <c r="I125" i="3"/>
  <c r="AC125" i="3"/>
  <c r="I220" i="3"/>
  <c r="AC220" i="3"/>
  <c r="I235" i="3"/>
  <c r="AC235" i="3"/>
  <c r="I124" i="3"/>
  <c r="AC124" i="3"/>
  <c r="I142" i="3"/>
  <c r="AC142" i="3"/>
  <c r="F244" i="3"/>
  <c r="I244" i="3" s="1"/>
  <c r="AC244" i="3"/>
  <c r="F136" i="3"/>
  <c r="H136" i="3" s="1"/>
  <c r="AC136" i="3"/>
  <c r="I183" i="3"/>
  <c r="AC183" i="3"/>
  <c r="I215" i="3"/>
  <c r="AC215" i="3"/>
  <c r="I228" i="3"/>
  <c r="AC228" i="3"/>
  <c r="I167" i="3"/>
  <c r="AC167" i="3"/>
  <c r="I175" i="3"/>
  <c r="AC175" i="3"/>
  <c r="I191" i="3"/>
  <c r="AC191" i="3"/>
  <c r="I118" i="3"/>
  <c r="AC118" i="3"/>
  <c r="I139" i="3"/>
  <c r="AC139" i="3"/>
  <c r="I229" i="3"/>
  <c r="AC229" i="3"/>
  <c r="I181" i="3"/>
  <c r="AC181" i="3"/>
  <c r="I134" i="3"/>
  <c r="AC134" i="3"/>
  <c r="I166" i="3"/>
  <c r="AC166" i="3"/>
  <c r="I219" i="3"/>
  <c r="AC219" i="3"/>
  <c r="I222" i="3"/>
  <c r="AC222" i="3"/>
  <c r="I230" i="3"/>
  <c r="AC230" i="3"/>
  <c r="I245" i="3"/>
  <c r="AC245" i="3"/>
  <c r="I192" i="3"/>
  <c r="AC192" i="3"/>
  <c r="I196" i="3"/>
  <c r="AC196" i="3"/>
  <c r="I203" i="3"/>
  <c r="AC203" i="3"/>
  <c r="I162" i="3"/>
  <c r="AC162" i="3"/>
  <c r="I236" i="3"/>
  <c r="AC236" i="3"/>
  <c r="R303" i="2"/>
  <c r="Q303" i="2"/>
  <c r="P303" i="2"/>
  <c r="R302" i="2"/>
  <c r="Q302" i="2"/>
  <c r="P302" i="2"/>
  <c r="R301" i="2"/>
  <c r="Q301" i="2"/>
  <c r="P301" i="2"/>
  <c r="R300" i="2"/>
  <c r="Q300" i="2"/>
  <c r="P300" i="2"/>
  <c r="R299" i="2"/>
  <c r="Q299" i="2"/>
  <c r="P299" i="2"/>
  <c r="R298" i="2"/>
  <c r="Q298" i="2"/>
  <c r="P298" i="2"/>
  <c r="R297" i="2"/>
  <c r="Q297" i="2"/>
  <c r="P297" i="2"/>
  <c r="R296" i="2"/>
  <c r="Q296" i="2"/>
  <c r="P296" i="2"/>
  <c r="R295" i="2"/>
  <c r="Q295" i="2"/>
  <c r="P295" i="2"/>
  <c r="R294" i="2"/>
  <c r="Q294" i="2"/>
  <c r="P294" i="2"/>
  <c r="R293" i="2"/>
  <c r="Q293" i="2"/>
  <c r="P293" i="2"/>
  <c r="R292" i="2"/>
  <c r="Q292" i="2"/>
  <c r="P292" i="2"/>
  <c r="R291" i="2"/>
  <c r="Q291" i="2"/>
  <c r="P291" i="2"/>
  <c r="R290" i="2"/>
  <c r="Q290" i="2"/>
  <c r="P290" i="2"/>
  <c r="R289" i="2"/>
  <c r="Q289" i="2"/>
  <c r="P289" i="2"/>
  <c r="R288" i="2"/>
  <c r="Q288" i="2"/>
  <c r="P288" i="2"/>
  <c r="R287" i="2"/>
  <c r="Q287" i="2"/>
  <c r="P287" i="2"/>
  <c r="R286" i="2"/>
  <c r="Q286" i="2"/>
  <c r="P286" i="2"/>
  <c r="R285" i="2"/>
  <c r="Q285" i="2"/>
  <c r="P285" i="2"/>
  <c r="R284" i="2"/>
  <c r="Q284" i="2"/>
  <c r="P284" i="2"/>
  <c r="R283" i="2"/>
  <c r="Q283" i="2"/>
  <c r="P283" i="2"/>
  <c r="R282" i="2"/>
  <c r="Q282" i="2"/>
  <c r="P282" i="2"/>
  <c r="R281" i="2"/>
  <c r="Q281" i="2"/>
  <c r="P281" i="2"/>
  <c r="R280" i="2"/>
  <c r="Q280" i="2"/>
  <c r="P280" i="2"/>
  <c r="R279" i="2"/>
  <c r="Q279" i="2"/>
  <c r="P279" i="2"/>
  <c r="R278" i="2"/>
  <c r="Q278" i="2"/>
  <c r="P278" i="2"/>
  <c r="R277" i="2"/>
  <c r="Q277" i="2"/>
  <c r="P277" i="2"/>
  <c r="R276" i="2"/>
  <c r="Q276" i="2"/>
  <c r="P276" i="2"/>
  <c r="R275" i="2"/>
  <c r="Q275" i="2"/>
  <c r="P275" i="2"/>
  <c r="R274" i="2"/>
  <c r="Q274" i="2"/>
  <c r="P274" i="2"/>
  <c r="R273" i="2"/>
  <c r="Q273" i="2"/>
  <c r="P273" i="2"/>
  <c r="R272" i="2"/>
  <c r="Q272" i="2"/>
  <c r="P272" i="2"/>
  <c r="R271" i="2"/>
  <c r="Q271" i="2"/>
  <c r="P271" i="2"/>
  <c r="R270" i="2"/>
  <c r="Q270" i="2"/>
  <c r="P270" i="2"/>
  <c r="R269" i="2"/>
  <c r="Q269" i="2"/>
  <c r="P269" i="2"/>
  <c r="R268" i="2"/>
  <c r="Q268" i="2"/>
  <c r="P268" i="2"/>
  <c r="R267" i="2"/>
  <c r="Q267" i="2"/>
  <c r="P267" i="2"/>
  <c r="R266" i="2"/>
  <c r="Q266" i="2"/>
  <c r="P266" i="2"/>
  <c r="R265" i="2"/>
  <c r="Q265" i="2"/>
  <c r="P265" i="2"/>
  <c r="R264" i="2"/>
  <c r="Q264" i="2"/>
  <c r="P264" i="2"/>
  <c r="R263" i="2"/>
  <c r="Q263" i="2"/>
  <c r="P263" i="2"/>
  <c r="R262" i="2"/>
  <c r="Q262" i="2"/>
  <c r="P262" i="2"/>
  <c r="R261" i="2"/>
  <c r="Q261" i="2"/>
  <c r="P261" i="2"/>
  <c r="R260" i="2"/>
  <c r="Q260" i="2"/>
  <c r="P260" i="2"/>
  <c r="R259" i="2"/>
  <c r="Q259" i="2"/>
  <c r="P259" i="2"/>
  <c r="R258" i="2"/>
  <c r="Q258" i="2"/>
  <c r="P258" i="2"/>
  <c r="R257" i="2"/>
  <c r="Q257" i="2"/>
  <c r="P257" i="2"/>
  <c r="R256" i="2"/>
  <c r="Q256" i="2"/>
  <c r="P256" i="2"/>
  <c r="R255" i="2"/>
  <c r="Q255" i="2"/>
  <c r="P255" i="2"/>
  <c r="R254" i="2"/>
  <c r="Q254" i="2"/>
  <c r="P254" i="2"/>
  <c r="R253" i="2"/>
  <c r="Q253" i="2"/>
  <c r="P253" i="2"/>
  <c r="R252" i="2"/>
  <c r="Q252" i="2"/>
  <c r="P252" i="2"/>
  <c r="R251" i="2"/>
  <c r="Q251" i="2"/>
  <c r="P251" i="2"/>
  <c r="R250" i="2"/>
  <c r="Q250" i="2"/>
  <c r="P250" i="2"/>
  <c r="R216" i="2"/>
  <c r="Q216" i="2"/>
  <c r="P216" i="2"/>
  <c r="R215" i="2"/>
  <c r="Q215" i="2"/>
  <c r="P215" i="2"/>
  <c r="R214" i="2"/>
  <c r="Q214" i="2"/>
  <c r="P214" i="2"/>
  <c r="R213" i="2"/>
  <c r="Q213" i="2"/>
  <c r="P213" i="2"/>
  <c r="R212" i="2"/>
  <c r="Q212" i="2"/>
  <c r="P212" i="2"/>
  <c r="Q211" i="2"/>
  <c r="L211" i="2"/>
  <c r="H211" i="2"/>
  <c r="Q210" i="2"/>
  <c r="L210" i="2"/>
  <c r="H210" i="2"/>
  <c r="T209" i="2"/>
  <c r="Q209" i="2"/>
  <c r="L209" i="2"/>
  <c r="H209" i="2"/>
  <c r="W209" i="2" s="1"/>
  <c r="Q208" i="2"/>
  <c r="L208" i="2"/>
  <c r="H208" i="2"/>
  <c r="Q207" i="2"/>
  <c r="L207" i="2"/>
  <c r="H207" i="2"/>
  <c r="Q206" i="2"/>
  <c r="L206" i="2"/>
  <c r="H206" i="2"/>
  <c r="Q205" i="2"/>
  <c r="L205" i="2"/>
  <c r="H205" i="2"/>
  <c r="Q204" i="2"/>
  <c r="L204" i="2"/>
  <c r="H204" i="2"/>
  <c r="Q203" i="2"/>
  <c r="L203" i="2"/>
  <c r="H203" i="2"/>
  <c r="T202" i="2"/>
  <c r="Q202" i="2"/>
  <c r="L202" i="2"/>
  <c r="H202" i="2"/>
  <c r="R202" i="2" s="1"/>
  <c r="Q201" i="2"/>
  <c r="L201" i="2"/>
  <c r="H201" i="2"/>
  <c r="Q200" i="2"/>
  <c r="L200" i="2"/>
  <c r="H200" i="2"/>
  <c r="Q199" i="2"/>
  <c r="L199" i="2"/>
  <c r="H199" i="2"/>
  <c r="Q198" i="2"/>
  <c r="L198" i="2"/>
  <c r="H198" i="2"/>
  <c r="Q197" i="2"/>
  <c r="L197" i="2"/>
  <c r="H197" i="2"/>
  <c r="Q196" i="2"/>
  <c r="L196" i="2"/>
  <c r="H196" i="2"/>
  <c r="Q195" i="2"/>
  <c r="L195" i="2"/>
  <c r="H195" i="2"/>
  <c r="Q194" i="2"/>
  <c r="L194" i="2"/>
  <c r="H194" i="2"/>
  <c r="Q193" i="2"/>
  <c r="L193" i="2"/>
  <c r="H193" i="2"/>
  <c r="Q192" i="2"/>
  <c r="L192" i="2"/>
  <c r="H192" i="2"/>
  <c r="Q191" i="2"/>
  <c r="H191" i="2"/>
  <c r="T190" i="2"/>
  <c r="Q190" i="2"/>
  <c r="L190" i="2"/>
  <c r="H190" i="2"/>
  <c r="W190" i="2" s="1"/>
  <c r="Q189" i="2"/>
  <c r="L189" i="2"/>
  <c r="H189" i="2"/>
  <c r="Q188" i="2"/>
  <c r="L188" i="2"/>
  <c r="H188" i="2"/>
  <c r="Q187" i="2"/>
  <c r="L187" i="2"/>
  <c r="H187" i="2"/>
  <c r="Q186" i="2"/>
  <c r="L186" i="2"/>
  <c r="H186" i="2"/>
  <c r="Q185" i="2"/>
  <c r="M185" i="2"/>
  <c r="L185" i="2" s="1"/>
  <c r="H185" i="2"/>
  <c r="Q184" i="2"/>
  <c r="L184" i="2"/>
  <c r="H184" i="2"/>
  <c r="T183" i="2"/>
  <c r="Q183" i="2"/>
  <c r="L183" i="2"/>
  <c r="H183" i="2"/>
  <c r="W183" i="2" s="1"/>
  <c r="Q182" i="2"/>
  <c r="L182" i="2"/>
  <c r="H182" i="2"/>
  <c r="T181" i="2"/>
  <c r="Q181" i="2"/>
  <c r="L181" i="2"/>
  <c r="H181" i="2"/>
  <c r="R181" i="2" s="1"/>
  <c r="Q180" i="2"/>
  <c r="L180" i="2"/>
  <c r="H180" i="2"/>
  <c r="Q179" i="2"/>
  <c r="L179" i="2"/>
  <c r="H179" i="2"/>
  <c r="Q178" i="2"/>
  <c r="H178" i="2"/>
  <c r="W178" i="2" s="1"/>
  <c r="Q177" i="2"/>
  <c r="L177" i="2"/>
  <c r="H177" i="2"/>
  <c r="Q176" i="2"/>
  <c r="L176" i="2"/>
  <c r="H176" i="2"/>
  <c r="Q175" i="2"/>
  <c r="L175" i="2"/>
  <c r="H175" i="2"/>
  <c r="Q174" i="2"/>
  <c r="L174" i="2"/>
  <c r="H174" i="2"/>
  <c r="Q173" i="2"/>
  <c r="L173" i="2"/>
  <c r="H173" i="2"/>
  <c r="T172" i="2"/>
  <c r="Q172" i="2"/>
  <c r="L172" i="2"/>
  <c r="H172" i="2"/>
  <c r="P172" i="2" s="1"/>
  <c r="Q171" i="2"/>
  <c r="L171" i="2"/>
  <c r="H171" i="2"/>
  <c r="Q170" i="2"/>
  <c r="L170" i="2"/>
  <c r="H170" i="2"/>
  <c r="Q169" i="2"/>
  <c r="L169" i="2"/>
  <c r="H169" i="2"/>
  <c r="T168" i="2"/>
  <c r="Q168" i="2"/>
  <c r="L168" i="2"/>
  <c r="H168" i="2"/>
  <c r="R168" i="2" s="1"/>
  <c r="T167" i="2"/>
  <c r="Q167" i="2"/>
  <c r="L167" i="2"/>
  <c r="H167" i="2"/>
  <c r="Q166" i="2"/>
  <c r="L166" i="2"/>
  <c r="H166" i="2"/>
  <c r="Q165" i="2"/>
  <c r="L165" i="2"/>
  <c r="H165" i="2"/>
  <c r="Q164" i="2"/>
  <c r="L164" i="2"/>
  <c r="H164" i="2"/>
  <c r="Q163" i="2"/>
  <c r="L163" i="2"/>
  <c r="H163" i="2"/>
  <c r="Q162" i="2"/>
  <c r="L162" i="2"/>
  <c r="H162" i="2"/>
  <c r="Q161" i="2"/>
  <c r="L161" i="2"/>
  <c r="H161" i="2"/>
  <c r="Q160" i="2"/>
  <c r="L160" i="2"/>
  <c r="H160" i="2"/>
  <c r="Q159" i="2"/>
  <c r="L159" i="2"/>
  <c r="H159" i="2"/>
  <c r="Q158" i="2"/>
  <c r="N158" i="2"/>
  <c r="L158" i="2"/>
  <c r="H158" i="2"/>
  <c r="Q157" i="2"/>
  <c r="L157" i="2"/>
  <c r="H157" i="2"/>
  <c r="Q156" i="2"/>
  <c r="L156" i="2"/>
  <c r="H156" i="2"/>
  <c r="Q155" i="2"/>
  <c r="L155" i="2"/>
  <c r="H155" i="2"/>
  <c r="T154" i="2"/>
  <c r="Q154" i="2"/>
  <c r="L154" i="2"/>
  <c r="H154" i="2"/>
  <c r="Q153" i="2"/>
  <c r="L153" i="2"/>
  <c r="H153" i="2"/>
  <c r="Q152" i="2"/>
  <c r="L152" i="2"/>
  <c r="H152" i="2"/>
  <c r="Q151" i="2"/>
  <c r="L151" i="2"/>
  <c r="H151" i="2"/>
  <c r="Q150" i="2"/>
  <c r="L150" i="2"/>
  <c r="H150" i="2"/>
  <c r="Q149" i="2"/>
  <c r="L149" i="2"/>
  <c r="H149" i="2"/>
  <c r="Q148" i="2"/>
  <c r="L148" i="2"/>
  <c r="H148" i="2"/>
  <c r="T147" i="2"/>
  <c r="Q147" i="2"/>
  <c r="L147" i="2"/>
  <c r="H147" i="2"/>
  <c r="R147" i="2" s="1"/>
  <c r="W148" i="2" l="1"/>
  <c r="W150" i="2"/>
  <c r="W152" i="2"/>
  <c r="W153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S169" i="2"/>
  <c r="P170" i="2"/>
  <c r="P171" i="2"/>
  <c r="P173" i="2"/>
  <c r="R174" i="2"/>
  <c r="P175" i="2"/>
  <c r="P176" i="2"/>
  <c r="P177" i="2"/>
  <c r="R179" i="2"/>
  <c r="R180" i="2"/>
  <c r="P182" i="2"/>
  <c r="P184" i="2"/>
  <c r="P185" i="2"/>
  <c r="P186" i="2"/>
  <c r="S187" i="2"/>
  <c r="R188" i="2"/>
  <c r="W189" i="2"/>
  <c r="W192" i="2"/>
  <c r="W193" i="2"/>
  <c r="P194" i="2"/>
  <c r="P195" i="2"/>
  <c r="W196" i="2"/>
  <c r="P197" i="2"/>
  <c r="P198" i="2"/>
  <c r="R199" i="2"/>
  <c r="R200" i="2"/>
  <c r="R201" i="2"/>
  <c r="W204" i="2"/>
  <c r="W205" i="2"/>
  <c r="R206" i="2"/>
  <c r="R207" i="2"/>
  <c r="R208" i="2"/>
  <c r="W210" i="2"/>
  <c r="W211" i="2"/>
  <c r="AD245" i="3"/>
  <c r="AD139" i="3"/>
  <c r="AD235" i="3"/>
  <c r="AD111" i="3"/>
  <c r="AD217" i="3"/>
  <c r="AD226" i="3"/>
  <c r="AD209" i="3"/>
  <c r="AD210" i="3"/>
  <c r="AD116" i="3"/>
  <c r="AD129" i="3"/>
  <c r="AD184" i="3"/>
  <c r="AD113" i="3"/>
  <c r="AD161" i="3"/>
  <c r="AD201" i="3"/>
  <c r="U128" i="3"/>
  <c r="AD165" i="3"/>
  <c r="AD197" i="3"/>
  <c r="AD212" i="3"/>
  <c r="AD155" i="3"/>
  <c r="AD241" i="3"/>
  <c r="U219" i="3"/>
  <c r="Y219" i="3"/>
  <c r="W219" i="3"/>
  <c r="U115" i="3"/>
  <c r="Y115" i="3"/>
  <c r="W115" i="3"/>
  <c r="Y137" i="3"/>
  <c r="W137" i="3"/>
  <c r="U137" i="3"/>
  <c r="U187" i="3"/>
  <c r="Y187" i="3"/>
  <c r="W187" i="3"/>
  <c r="U202" i="3"/>
  <c r="Y202" i="3"/>
  <c r="W202" i="3"/>
  <c r="AD202" i="3"/>
  <c r="U130" i="3"/>
  <c r="Y130" i="3"/>
  <c r="W130" i="3"/>
  <c r="AD130" i="3"/>
  <c r="U211" i="3"/>
  <c r="Y211" i="3"/>
  <c r="W211" i="3"/>
  <c r="U218" i="3"/>
  <c r="Y218" i="3"/>
  <c r="W218" i="3"/>
  <c r="AD218" i="3"/>
  <c r="U162" i="3"/>
  <c r="Y162" i="3"/>
  <c r="W162" i="3"/>
  <c r="U245" i="3"/>
  <c r="Y245" i="3"/>
  <c r="W245" i="3"/>
  <c r="U166" i="3"/>
  <c r="Y166" i="3"/>
  <c r="W166" i="3"/>
  <c r="U139" i="3"/>
  <c r="Y139" i="3"/>
  <c r="W139" i="3"/>
  <c r="U167" i="3"/>
  <c r="Y167" i="3"/>
  <c r="W167" i="3"/>
  <c r="U235" i="3"/>
  <c r="Y235" i="3"/>
  <c r="W235" i="3"/>
  <c r="U150" i="3"/>
  <c r="Y150" i="3"/>
  <c r="W150" i="3"/>
  <c r="U111" i="3"/>
  <c r="Y111" i="3"/>
  <c r="W111" i="3"/>
  <c r="Y217" i="3"/>
  <c r="W217" i="3"/>
  <c r="U217" i="3"/>
  <c r="AE120" i="3"/>
  <c r="AD120" i="3"/>
  <c r="U226" i="3"/>
  <c r="Y226" i="3"/>
  <c r="W226" i="3"/>
  <c r="Y209" i="3"/>
  <c r="W209" i="3"/>
  <c r="U209" i="3"/>
  <c r="U112" i="3"/>
  <c r="Y112" i="3"/>
  <c r="W112" i="3"/>
  <c r="W210" i="3"/>
  <c r="AE119" i="3"/>
  <c r="AD119" i="3"/>
  <c r="W116" i="3"/>
  <c r="W129" i="3"/>
  <c r="U184" i="3"/>
  <c r="W184" i="3"/>
  <c r="Y184" i="3"/>
  <c r="Y113" i="3"/>
  <c r="W113" i="3"/>
  <c r="U113" i="3"/>
  <c r="Y161" i="3"/>
  <c r="W161" i="3"/>
  <c r="U161" i="3"/>
  <c r="Y201" i="3"/>
  <c r="W201" i="3"/>
  <c r="U201" i="3"/>
  <c r="U110" i="3"/>
  <c r="AD110" i="3"/>
  <c r="Y110" i="3"/>
  <c r="W110" i="3"/>
  <c r="U159" i="3"/>
  <c r="AD159" i="3"/>
  <c r="Y159" i="3"/>
  <c r="W159" i="3"/>
  <c r="U180" i="3"/>
  <c r="AD180" i="3"/>
  <c r="Y180" i="3"/>
  <c r="W180" i="3"/>
  <c r="W208" i="3"/>
  <c r="Z122" i="3"/>
  <c r="U122" i="3"/>
  <c r="Y122" i="3"/>
  <c r="W122" i="3"/>
  <c r="AD122" i="3"/>
  <c r="U198" i="3"/>
  <c r="AD198" i="3"/>
  <c r="Y198" i="3"/>
  <c r="W198" i="3"/>
  <c r="U175" i="3"/>
  <c r="Y175" i="3"/>
  <c r="W175" i="3"/>
  <c r="U132" i="3"/>
  <c r="Y132" i="3"/>
  <c r="W132" i="3"/>
  <c r="U140" i="3"/>
  <c r="Y140" i="3"/>
  <c r="W140" i="3"/>
  <c r="U170" i="3"/>
  <c r="Y170" i="3"/>
  <c r="W170" i="3"/>
  <c r="U200" i="3"/>
  <c r="AD200" i="3"/>
  <c r="Y200" i="3"/>
  <c r="W200" i="3"/>
  <c r="Y105" i="3"/>
  <c r="W105" i="3"/>
  <c r="U105" i="3"/>
  <c r="Z105" i="3"/>
  <c r="AE166" i="3"/>
  <c r="AD166" i="3"/>
  <c r="AE150" i="3"/>
  <c r="AD150" i="3"/>
  <c r="U104" i="3"/>
  <c r="Y104" i="3"/>
  <c r="W104" i="3"/>
  <c r="AD203" i="3"/>
  <c r="AD230" i="3"/>
  <c r="AD134" i="3"/>
  <c r="AD118" i="3"/>
  <c r="AD228" i="3"/>
  <c r="AD244" i="3"/>
  <c r="AD220" i="3"/>
  <c r="Q220" i="3" s="1"/>
  <c r="AE143" i="3"/>
  <c r="AD143" i="3"/>
  <c r="U194" i="3"/>
  <c r="Y194" i="3"/>
  <c r="W194" i="3"/>
  <c r="Y193" i="3"/>
  <c r="W193" i="3"/>
  <c r="U193" i="3"/>
  <c r="AD177" i="3"/>
  <c r="U237" i="3"/>
  <c r="Y237" i="3"/>
  <c r="W237" i="3"/>
  <c r="U120" i="3"/>
  <c r="W120" i="3"/>
  <c r="Y120" i="3"/>
  <c r="AD205" i="3"/>
  <c r="AE168" i="3"/>
  <c r="AD168" i="3"/>
  <c r="AE148" i="3"/>
  <c r="AD148" i="3"/>
  <c r="U119" i="3"/>
  <c r="Y119" i="3"/>
  <c r="W119" i="3"/>
  <c r="U204" i="3"/>
  <c r="Y204" i="3"/>
  <c r="W204" i="3"/>
  <c r="AD232" i="3"/>
  <c r="AD207" i="3"/>
  <c r="U108" i="3"/>
  <c r="Y108" i="3"/>
  <c r="W108" i="3"/>
  <c r="Z108" i="3"/>
  <c r="AD121" i="3"/>
  <c r="AD146" i="3"/>
  <c r="AD216" i="3"/>
  <c r="Q216" i="3" s="1"/>
  <c r="AE107" i="3"/>
  <c r="AD107" i="3"/>
  <c r="Q107" i="3" s="1"/>
  <c r="AE179" i="3"/>
  <c r="AD179" i="3"/>
  <c r="AD233" i="3"/>
  <c r="U141" i="3"/>
  <c r="Y141" i="3"/>
  <c r="W141" i="3"/>
  <c r="U117" i="3"/>
  <c r="AD117" i="3"/>
  <c r="R117" i="3" s="1"/>
  <c r="Y117" i="3"/>
  <c r="W117" i="3"/>
  <c r="U164" i="3"/>
  <c r="AD164" i="3"/>
  <c r="Y164" i="3"/>
  <c r="W164" i="3"/>
  <c r="U229" i="3"/>
  <c r="Y229" i="3"/>
  <c r="W229" i="3"/>
  <c r="U156" i="3"/>
  <c r="Y156" i="3"/>
  <c r="W156" i="3"/>
  <c r="U126" i="3"/>
  <c r="Y126" i="3"/>
  <c r="W126" i="3"/>
  <c r="AE162" i="3"/>
  <c r="AD162" i="3"/>
  <c r="Q162" i="3" s="1"/>
  <c r="AE167" i="3"/>
  <c r="AD167" i="3"/>
  <c r="U149" i="3"/>
  <c r="Y149" i="3"/>
  <c r="W149" i="3"/>
  <c r="U182" i="3"/>
  <c r="Y182" i="3"/>
  <c r="W182" i="3"/>
  <c r="U203" i="3"/>
  <c r="Y203" i="3"/>
  <c r="W203" i="3"/>
  <c r="U230" i="3"/>
  <c r="Y230" i="3"/>
  <c r="W230" i="3"/>
  <c r="U134" i="3"/>
  <c r="Y134" i="3"/>
  <c r="W134" i="3"/>
  <c r="U118" i="3"/>
  <c r="Y118" i="3"/>
  <c r="W118" i="3"/>
  <c r="U228" i="3"/>
  <c r="Y228" i="3"/>
  <c r="W228" i="3"/>
  <c r="U220" i="3"/>
  <c r="Y220" i="3"/>
  <c r="W220" i="3"/>
  <c r="U143" i="3"/>
  <c r="Y143" i="3"/>
  <c r="W143" i="3"/>
  <c r="AE157" i="3"/>
  <c r="AD157" i="3"/>
  <c r="AE171" i="3"/>
  <c r="AD171" i="3"/>
  <c r="Y177" i="3"/>
  <c r="W177" i="3"/>
  <c r="U177" i="3"/>
  <c r="AE114" i="3"/>
  <c r="AD114" i="3"/>
  <c r="U205" i="3"/>
  <c r="Y205" i="3"/>
  <c r="W205" i="3"/>
  <c r="U168" i="3"/>
  <c r="Y168" i="3"/>
  <c r="W168" i="3"/>
  <c r="U148" i="3"/>
  <c r="Y148" i="3"/>
  <c r="W148" i="3"/>
  <c r="U232" i="3"/>
  <c r="Y232" i="3"/>
  <c r="W232" i="3"/>
  <c r="W207" i="3"/>
  <c r="AD176" i="3"/>
  <c r="Y121" i="3"/>
  <c r="W121" i="3"/>
  <c r="U121" i="3"/>
  <c r="U146" i="3"/>
  <c r="Y146" i="3"/>
  <c r="W146" i="3"/>
  <c r="U216" i="3"/>
  <c r="Y216" i="3"/>
  <c r="W216" i="3"/>
  <c r="U107" i="3"/>
  <c r="Y107" i="3"/>
  <c r="W107" i="3"/>
  <c r="U179" i="3"/>
  <c r="Y179" i="3"/>
  <c r="W179" i="3"/>
  <c r="U224" i="3"/>
  <c r="Y224" i="3"/>
  <c r="W224" i="3"/>
  <c r="AD224" i="3"/>
  <c r="U123" i="3"/>
  <c r="AD123" i="3"/>
  <c r="Y123" i="3"/>
  <c r="W123" i="3"/>
  <c r="U174" i="3"/>
  <c r="AD174" i="3"/>
  <c r="Y174" i="3"/>
  <c r="W174" i="3"/>
  <c r="U147" i="3"/>
  <c r="Y147" i="3"/>
  <c r="W147" i="3"/>
  <c r="AD147" i="3"/>
  <c r="Z173" i="3"/>
  <c r="U173" i="3"/>
  <c r="AD173" i="3"/>
  <c r="Y173" i="3"/>
  <c r="W173" i="3"/>
  <c r="U192" i="3"/>
  <c r="W192" i="3"/>
  <c r="Y192" i="3"/>
  <c r="U183" i="3"/>
  <c r="Y183" i="3"/>
  <c r="W183" i="3"/>
  <c r="Y225" i="3"/>
  <c r="W225" i="3"/>
  <c r="U225" i="3"/>
  <c r="Y145" i="3"/>
  <c r="W145" i="3"/>
  <c r="U145" i="3"/>
  <c r="U160" i="3"/>
  <c r="AD160" i="3"/>
  <c r="Y160" i="3"/>
  <c r="W160" i="3"/>
  <c r="Y185" i="3"/>
  <c r="W185" i="3"/>
  <c r="U185" i="3"/>
  <c r="AD185" i="3"/>
  <c r="U242" i="3"/>
  <c r="Y242" i="3"/>
  <c r="W242" i="3"/>
  <c r="U138" i="3"/>
  <c r="Y138" i="3"/>
  <c r="W138" i="3"/>
  <c r="AE112" i="3"/>
  <c r="AD112" i="3"/>
  <c r="AD105" i="3"/>
  <c r="AD128" i="3"/>
  <c r="R128" i="3" s="1"/>
  <c r="W128" i="3"/>
  <c r="Y128" i="3"/>
  <c r="AD196" i="3"/>
  <c r="AD222" i="3"/>
  <c r="AD181" i="3"/>
  <c r="Q181" i="3" s="1"/>
  <c r="AE191" i="3"/>
  <c r="AD191" i="3"/>
  <c r="AD215" i="3"/>
  <c r="S215" i="3" s="1"/>
  <c r="AX215" i="3" s="1"/>
  <c r="AE142" i="3"/>
  <c r="AD142" i="3"/>
  <c r="AD125" i="3"/>
  <c r="Q125" i="3" s="1"/>
  <c r="AD240" i="3"/>
  <c r="U157" i="3"/>
  <c r="Y157" i="3"/>
  <c r="W157" i="3"/>
  <c r="U171" i="3"/>
  <c r="Y171" i="3"/>
  <c r="W171" i="3"/>
  <c r="AD152" i="3"/>
  <c r="AD234" i="3"/>
  <c r="U223" i="3"/>
  <c r="Y223" i="3"/>
  <c r="W223" i="3"/>
  <c r="U114" i="3"/>
  <c r="Y114" i="3"/>
  <c r="W114" i="3"/>
  <c r="AD178" i="3"/>
  <c r="AE144" i="3"/>
  <c r="AD144" i="3"/>
  <c r="AD158" i="3"/>
  <c r="U172" i="3"/>
  <c r="Y172" i="3"/>
  <c r="W172" i="3"/>
  <c r="U186" i="3"/>
  <c r="Y186" i="3"/>
  <c r="W186" i="3"/>
  <c r="AD189" i="3"/>
  <c r="U176" i="3"/>
  <c r="Y176" i="3"/>
  <c r="W176" i="3"/>
  <c r="AD127" i="3"/>
  <c r="Q127" i="3" s="1"/>
  <c r="Y153" i="3"/>
  <c r="W153" i="3"/>
  <c r="U153" i="3"/>
  <c r="AD153" i="3"/>
  <c r="U109" i="3"/>
  <c r="AD109" i="3"/>
  <c r="S109" i="3" s="1"/>
  <c r="AX109" i="3" s="1"/>
  <c r="Y109" i="3"/>
  <c r="W109" i="3"/>
  <c r="Z109" i="3"/>
  <c r="U181" i="3"/>
  <c r="Y181" i="3"/>
  <c r="W181" i="3"/>
  <c r="U142" i="3"/>
  <c r="Y142" i="3"/>
  <c r="W142" i="3"/>
  <c r="U125" i="3"/>
  <c r="Y125" i="3"/>
  <c r="W125" i="3"/>
  <c r="AE154" i="3"/>
  <c r="AD154" i="3"/>
  <c r="U152" i="3"/>
  <c r="Y152" i="3"/>
  <c r="W152" i="3"/>
  <c r="U234" i="3"/>
  <c r="Y234" i="3"/>
  <c r="W234" i="3"/>
  <c r="AE131" i="3"/>
  <c r="AD131" i="3"/>
  <c r="U178" i="3"/>
  <c r="Y178" i="3"/>
  <c r="W178" i="3"/>
  <c r="U144" i="3"/>
  <c r="Y144" i="3"/>
  <c r="W144" i="3"/>
  <c r="U158" i="3"/>
  <c r="Y158" i="3"/>
  <c r="W158" i="3"/>
  <c r="AE151" i="3"/>
  <c r="AD151" i="3"/>
  <c r="Q151" i="3" s="1"/>
  <c r="U189" i="3"/>
  <c r="Y189" i="3"/>
  <c r="W189" i="3"/>
  <c r="U127" i="3"/>
  <c r="Y127" i="3"/>
  <c r="W127" i="3"/>
  <c r="U197" i="3"/>
  <c r="Y197" i="3"/>
  <c r="W197" i="3"/>
  <c r="U212" i="3"/>
  <c r="Y212" i="3"/>
  <c r="W212" i="3"/>
  <c r="U239" i="3"/>
  <c r="Y239" i="3"/>
  <c r="AD239" i="3"/>
  <c r="W239" i="3"/>
  <c r="Y169" i="3"/>
  <c r="W169" i="3"/>
  <c r="U169" i="3"/>
  <c r="AD169" i="3"/>
  <c r="U238" i="3"/>
  <c r="Y238" i="3"/>
  <c r="W238" i="3"/>
  <c r="AD238" i="3"/>
  <c r="U155" i="3"/>
  <c r="Y155" i="3"/>
  <c r="W155" i="3"/>
  <c r="Z190" i="3"/>
  <c r="U190" i="3"/>
  <c r="AD190" i="3"/>
  <c r="Y190" i="3"/>
  <c r="W190" i="3"/>
  <c r="U236" i="3"/>
  <c r="Y236" i="3"/>
  <c r="W236" i="3"/>
  <c r="U124" i="3"/>
  <c r="Y124" i="3"/>
  <c r="W124" i="3"/>
  <c r="U213" i="3"/>
  <c r="Y213" i="3"/>
  <c r="W213" i="3"/>
  <c r="U206" i="3"/>
  <c r="Y206" i="3"/>
  <c r="W206" i="3"/>
  <c r="U106" i="3"/>
  <c r="Z106" i="3"/>
  <c r="Y106" i="3"/>
  <c r="W106" i="3"/>
  <c r="U196" i="3"/>
  <c r="Y196" i="3"/>
  <c r="W196" i="3"/>
  <c r="U222" i="3"/>
  <c r="Y222" i="3"/>
  <c r="W222" i="3"/>
  <c r="U191" i="3"/>
  <c r="Y191" i="3"/>
  <c r="W191" i="3"/>
  <c r="U215" i="3"/>
  <c r="Y215" i="3"/>
  <c r="W215" i="3"/>
  <c r="U240" i="3"/>
  <c r="W240" i="3"/>
  <c r="Y240" i="3"/>
  <c r="AD236" i="3"/>
  <c r="AD192" i="3"/>
  <c r="AD219" i="3"/>
  <c r="AD229" i="3"/>
  <c r="R229" i="3" s="1"/>
  <c r="AE175" i="3"/>
  <c r="AD175" i="3"/>
  <c r="R175" i="3" s="1"/>
  <c r="AE183" i="3"/>
  <c r="AD183" i="3"/>
  <c r="AE124" i="3"/>
  <c r="AD124" i="3"/>
  <c r="AE115" i="3"/>
  <c r="AD115" i="3"/>
  <c r="R115" i="3" s="1"/>
  <c r="AD213" i="3"/>
  <c r="S213" i="3" s="1"/>
  <c r="AX213" i="3" s="1"/>
  <c r="U133" i="3"/>
  <c r="Y133" i="3"/>
  <c r="W133" i="3"/>
  <c r="U154" i="3"/>
  <c r="Y154" i="3"/>
  <c r="W154" i="3"/>
  <c r="AE132" i="3"/>
  <c r="AD132" i="3"/>
  <c r="Q132" i="3" s="1"/>
  <c r="AD225" i="3"/>
  <c r="S225" i="3" s="1"/>
  <c r="U131" i="3"/>
  <c r="Y131" i="3"/>
  <c r="W131" i="3"/>
  <c r="U195" i="3"/>
  <c r="Y195" i="3"/>
  <c r="W195" i="3"/>
  <c r="Y241" i="3"/>
  <c r="W241" i="3"/>
  <c r="U241" i="3"/>
  <c r="AD140" i="3"/>
  <c r="AE137" i="3"/>
  <c r="AD137" i="3"/>
  <c r="AD156" i="3"/>
  <c r="U151" i="3"/>
  <c r="Y151" i="3"/>
  <c r="W151" i="3"/>
  <c r="U163" i="3"/>
  <c r="Y163" i="3"/>
  <c r="W163" i="3"/>
  <c r="AE170" i="3"/>
  <c r="AD170" i="3"/>
  <c r="U221" i="3"/>
  <c r="Y221" i="3"/>
  <c r="W221" i="3"/>
  <c r="U199" i="3"/>
  <c r="Y199" i="3"/>
  <c r="W199" i="3"/>
  <c r="AD145" i="3"/>
  <c r="U214" i="3"/>
  <c r="Y214" i="3"/>
  <c r="W214" i="3"/>
  <c r="AD126" i="3"/>
  <c r="R126" i="3" s="1"/>
  <c r="AD187" i="3"/>
  <c r="AD206" i="3"/>
  <c r="AD208" i="3"/>
  <c r="U135" i="3"/>
  <c r="Y135" i="3"/>
  <c r="W135" i="3"/>
  <c r="U188" i="3"/>
  <c r="AD188" i="3"/>
  <c r="S188" i="3" s="1"/>
  <c r="Y188" i="3"/>
  <c r="W188" i="3"/>
  <c r="AE230" i="3"/>
  <c r="AE235" i="3"/>
  <c r="AE234" i="3"/>
  <c r="AE216" i="3"/>
  <c r="AE242" i="3"/>
  <c r="R153" i="3"/>
  <c r="AE206" i="3"/>
  <c r="AE240" i="3"/>
  <c r="AE219" i="3"/>
  <c r="AE217" i="3"/>
  <c r="AE223" i="3"/>
  <c r="Q134" i="3"/>
  <c r="AE222" i="3"/>
  <c r="AE220" i="3"/>
  <c r="AE225" i="3"/>
  <c r="AE237" i="3"/>
  <c r="AE203" i="3"/>
  <c r="AE205" i="3"/>
  <c r="Z147" i="3"/>
  <c r="AE135" i="3"/>
  <c r="Q231" i="3"/>
  <c r="Z188" i="3"/>
  <c r="R197" i="2"/>
  <c r="T151" i="2"/>
  <c r="Y151" i="2" s="1"/>
  <c r="T149" i="2"/>
  <c r="Y149" i="2" s="1"/>
  <c r="W173" i="2"/>
  <c r="T187" i="2"/>
  <c r="Y187" i="2" s="1"/>
  <c r="S197" i="2"/>
  <c r="T186" i="2"/>
  <c r="Y186" i="2" s="1"/>
  <c r="T160" i="2"/>
  <c r="Y160" i="2" s="1"/>
  <c r="W174" i="2"/>
  <c r="T176" i="2"/>
  <c r="Y176" i="2" s="1"/>
  <c r="T174" i="2"/>
  <c r="Y174" i="2" s="1"/>
  <c r="T173" i="2"/>
  <c r="Y173" i="2" s="1"/>
  <c r="T175" i="2"/>
  <c r="Y175" i="2" s="1"/>
  <c r="S166" i="2"/>
  <c r="T148" i="2"/>
  <c r="Y148" i="2" s="1"/>
  <c r="S174" i="2"/>
  <c r="W187" i="2"/>
  <c r="T192" i="2"/>
  <c r="Y192" i="2" s="1"/>
  <c r="P155" i="2"/>
  <c r="T165" i="2"/>
  <c r="Y165" i="2" s="1"/>
  <c r="R182" i="2"/>
  <c r="W186" i="2"/>
  <c r="T188" i="2"/>
  <c r="Y188" i="2" s="1"/>
  <c r="P207" i="2"/>
  <c r="P165" i="2"/>
  <c r="P169" i="2"/>
  <c r="P188" i="2"/>
  <c r="T185" i="2"/>
  <c r="Y185" i="2" s="1"/>
  <c r="T198" i="2"/>
  <c r="Y198" i="2" s="1"/>
  <c r="W169" i="2"/>
  <c r="P187" i="2"/>
  <c r="W188" i="2"/>
  <c r="T210" i="2"/>
  <c r="Y210" i="2" s="1"/>
  <c r="R183" i="2"/>
  <c r="W198" i="2"/>
  <c r="T201" i="2"/>
  <c r="Y201" i="2" s="1"/>
  <c r="T150" i="2"/>
  <c r="Y150" i="2" s="1"/>
  <c r="S156" i="2"/>
  <c r="S208" i="2"/>
  <c r="W147" i="2"/>
  <c r="T164" i="2"/>
  <c r="Y164" i="2" s="1"/>
  <c r="T166" i="2"/>
  <c r="Y166" i="2" s="1"/>
  <c r="W170" i="2"/>
  <c r="R175" i="2"/>
  <c r="R176" i="2"/>
  <c r="R177" i="2"/>
  <c r="W179" i="2"/>
  <c r="W194" i="2"/>
  <c r="T200" i="2"/>
  <c r="Y200" i="2" s="1"/>
  <c r="T205" i="2"/>
  <c r="Y205" i="2" s="1"/>
  <c r="P209" i="2"/>
  <c r="T159" i="2"/>
  <c r="Y159" i="2" s="1"/>
  <c r="S175" i="2"/>
  <c r="S176" i="2"/>
  <c r="T177" i="2"/>
  <c r="Y177" i="2" s="1"/>
  <c r="R187" i="2"/>
  <c r="T193" i="2"/>
  <c r="Y193" i="2" s="1"/>
  <c r="R198" i="2"/>
  <c r="T155" i="2"/>
  <c r="Y155" i="2" s="1"/>
  <c r="R166" i="2"/>
  <c r="P168" i="2"/>
  <c r="R169" i="2"/>
  <c r="W177" i="2"/>
  <c r="P193" i="2"/>
  <c r="W175" i="2"/>
  <c r="W176" i="2"/>
  <c r="P147" i="2"/>
  <c r="T158" i="2"/>
  <c r="Y158" i="2" s="1"/>
  <c r="T163" i="2"/>
  <c r="Y163" i="2" s="1"/>
  <c r="W168" i="2"/>
  <c r="T196" i="2"/>
  <c r="Y196" i="2" s="1"/>
  <c r="T197" i="2"/>
  <c r="Y197" i="2" s="1"/>
  <c r="T199" i="2"/>
  <c r="Y199" i="2" s="1"/>
  <c r="W208" i="2"/>
  <c r="P210" i="2"/>
  <c r="R165" i="2"/>
  <c r="T179" i="2"/>
  <c r="Y179" i="2" s="1"/>
  <c r="P181" i="2"/>
  <c r="P196" i="2"/>
  <c r="R170" i="2"/>
  <c r="P174" i="2"/>
  <c r="R194" i="2"/>
  <c r="T156" i="2"/>
  <c r="Y156" i="2" s="1"/>
  <c r="S157" i="2"/>
  <c r="T162" i="2"/>
  <c r="Y162" i="2" s="1"/>
  <c r="P166" i="2"/>
  <c r="R167" i="2"/>
  <c r="T170" i="2"/>
  <c r="Y170" i="2" s="1"/>
  <c r="R171" i="2"/>
  <c r="P179" i="2"/>
  <c r="S180" i="2"/>
  <c r="W181" i="2"/>
  <c r="P183" i="2"/>
  <c r="T184" i="2"/>
  <c r="Y184" i="2" s="1"/>
  <c r="P192" i="2"/>
  <c r="S195" i="2"/>
  <c r="S199" i="2"/>
  <c r="S200" i="2"/>
  <c r="S201" i="2"/>
  <c r="W206" i="2"/>
  <c r="T208" i="2"/>
  <c r="Y208" i="2" s="1"/>
  <c r="P211" i="2"/>
  <c r="P156" i="2"/>
  <c r="T169" i="2"/>
  <c r="Y169" i="2" s="1"/>
  <c r="S171" i="2"/>
  <c r="W180" i="2"/>
  <c r="W184" i="2"/>
  <c r="W202" i="2"/>
  <c r="P208" i="2"/>
  <c r="R173" i="2"/>
  <c r="R186" i="2"/>
  <c r="W199" i="2"/>
  <c r="W200" i="2"/>
  <c r="W201" i="2"/>
  <c r="T203" i="2"/>
  <c r="Y203" i="2" s="1"/>
  <c r="T207" i="2"/>
  <c r="Y207" i="2" s="1"/>
  <c r="T153" i="2"/>
  <c r="Y153" i="2" s="1"/>
  <c r="T180" i="2"/>
  <c r="Y180" i="2" s="1"/>
  <c r="P191" i="2"/>
  <c r="T206" i="2"/>
  <c r="Y206" i="2" s="1"/>
  <c r="T157" i="2"/>
  <c r="Y157" i="2" s="1"/>
  <c r="R158" i="2"/>
  <c r="T161" i="2"/>
  <c r="Y161" i="2" s="1"/>
  <c r="S165" i="2"/>
  <c r="R172" i="2"/>
  <c r="P180" i="2"/>
  <c r="S182" i="2"/>
  <c r="R185" i="2"/>
  <c r="R196" i="2"/>
  <c r="P199" i="2"/>
  <c r="P200" i="2"/>
  <c r="P201" i="2"/>
  <c r="P202" i="2"/>
  <c r="P206" i="2"/>
  <c r="S207" i="2"/>
  <c r="S155" i="2"/>
  <c r="P157" i="2"/>
  <c r="P167" i="2"/>
  <c r="S185" i="2"/>
  <c r="W207" i="2"/>
  <c r="W149" i="2"/>
  <c r="W151" i="2"/>
  <c r="R184" i="2"/>
  <c r="T194" i="2"/>
  <c r="Y194" i="2" s="1"/>
  <c r="R195" i="2"/>
  <c r="S206" i="2"/>
  <c r="T211" i="2"/>
  <c r="Y211" i="2" s="1"/>
  <c r="A149" i="6"/>
  <c r="F141" i="6" s="1"/>
  <c r="Z185" i="3"/>
  <c r="P128" i="6"/>
  <c r="AG128" i="6" s="1"/>
  <c r="Q127" i="6"/>
  <c r="P127" i="6"/>
  <c r="AG127" i="6" s="1"/>
  <c r="Q117" i="6"/>
  <c r="P117" i="6"/>
  <c r="AG117" i="6" s="1"/>
  <c r="P137" i="6"/>
  <c r="AG137" i="6" s="1"/>
  <c r="Q137" i="6"/>
  <c r="P134" i="6"/>
  <c r="AG134" i="6" s="1"/>
  <c r="P119" i="6"/>
  <c r="AG119" i="6" s="1"/>
  <c r="Q119" i="6"/>
  <c r="P125" i="6"/>
  <c r="AG125" i="6" s="1"/>
  <c r="Q125" i="6"/>
  <c r="P140" i="6"/>
  <c r="AG140" i="6" s="1"/>
  <c r="Q140" i="6"/>
  <c r="Q136" i="6"/>
  <c r="P136" i="6"/>
  <c r="AG136" i="6" s="1"/>
  <c r="P130" i="6"/>
  <c r="AG130" i="6" s="1"/>
  <c r="Q130" i="6"/>
  <c r="P142" i="6"/>
  <c r="AG142" i="6" s="1"/>
  <c r="Q142" i="6"/>
  <c r="P143" i="6"/>
  <c r="AG143" i="6" s="1"/>
  <c r="Q143" i="6"/>
  <c r="P129" i="6"/>
  <c r="AG129" i="6" s="1"/>
  <c r="Q129" i="6"/>
  <c r="P124" i="6"/>
  <c r="AG124" i="6" s="1"/>
  <c r="Q124" i="6"/>
  <c r="Q132" i="6"/>
  <c r="Q126" i="6"/>
  <c r="P144" i="6"/>
  <c r="AG144" i="6" s="1"/>
  <c r="Q144" i="6"/>
  <c r="Z130" i="3"/>
  <c r="Q173" i="3"/>
  <c r="S164" i="3"/>
  <c r="S147" i="3"/>
  <c r="S185" i="3"/>
  <c r="S130" i="3"/>
  <c r="S218" i="3"/>
  <c r="R122" i="3"/>
  <c r="R190" i="3"/>
  <c r="Z198" i="3"/>
  <c r="Z153" i="3"/>
  <c r="Z128" i="3"/>
  <c r="Z117" i="3"/>
  <c r="Z164" i="3"/>
  <c r="AE117" i="3"/>
  <c r="AE164" i="3"/>
  <c r="Q236" i="3"/>
  <c r="S135" i="3"/>
  <c r="Q240" i="3"/>
  <c r="Q210" i="3"/>
  <c r="Q161" i="3"/>
  <c r="S237" i="3"/>
  <c r="Q203" i="3"/>
  <c r="Q150" i="3"/>
  <c r="Q194" i="3"/>
  <c r="S152" i="3"/>
  <c r="AW152" i="3" s="1"/>
  <c r="Q116" i="3"/>
  <c r="AE155" i="3"/>
  <c r="Q228" i="3"/>
  <c r="R111" i="3"/>
  <c r="Q140" i="3"/>
  <c r="Q232" i="3"/>
  <c r="AE141" i="3"/>
  <c r="R222" i="3"/>
  <c r="Q182" i="3"/>
  <c r="Q139" i="3"/>
  <c r="S163" i="3"/>
  <c r="AW163" i="3" s="1"/>
  <c r="Q145" i="3"/>
  <c r="R241" i="3"/>
  <c r="Q121" i="3"/>
  <c r="AE208" i="3"/>
  <c r="Q219" i="3"/>
  <c r="Q133" i="3"/>
  <c r="R223" i="3"/>
  <c r="Q137" i="3"/>
  <c r="R172" i="3"/>
  <c r="Q221" i="3"/>
  <c r="R108" i="3"/>
  <c r="Q214" i="3"/>
  <c r="R192" i="3"/>
  <c r="Q183" i="3"/>
  <c r="Q184" i="3"/>
  <c r="Q191" i="3"/>
  <c r="Q157" i="3"/>
  <c r="R204" i="3"/>
  <c r="R143" i="3"/>
  <c r="Q171" i="3"/>
  <c r="R120" i="3"/>
  <c r="Q178" i="3"/>
  <c r="Q158" i="3"/>
  <c r="S119" i="3"/>
  <c r="S129" i="3"/>
  <c r="R187" i="3"/>
  <c r="Q193" i="3"/>
  <c r="S199" i="3"/>
  <c r="AW199" i="3" s="1"/>
  <c r="AE233" i="3"/>
  <c r="S142" i="3"/>
  <c r="S114" i="3"/>
  <c r="S186" i="3"/>
  <c r="AW186" i="3" s="1"/>
  <c r="Q206" i="3"/>
  <c r="Q230" i="3"/>
  <c r="Q235" i="3"/>
  <c r="Q234" i="3"/>
  <c r="R168" i="3"/>
  <c r="R166" i="3"/>
  <c r="Q167" i="3"/>
  <c r="S242" i="3"/>
  <c r="S195" i="3"/>
  <c r="AW195" i="3" s="1"/>
  <c r="Q226" i="3"/>
  <c r="Q176" i="3"/>
  <c r="Z208" i="3"/>
  <c r="Z155" i="3"/>
  <c r="Z135" i="3"/>
  <c r="AE228" i="3"/>
  <c r="AE209" i="3"/>
  <c r="Z207" i="3"/>
  <c r="Z182" i="3"/>
  <c r="Z210" i="3"/>
  <c r="Z199" i="3"/>
  <c r="I136" i="3"/>
  <c r="AD136" i="3" s="1"/>
  <c r="AE215" i="3"/>
  <c r="AE125" i="3"/>
  <c r="AE212" i="3"/>
  <c r="Z193" i="3"/>
  <c r="Z213" i="3"/>
  <c r="Z152" i="3"/>
  <c r="AE126" i="3"/>
  <c r="AE134" i="3"/>
  <c r="AE181" i="3"/>
  <c r="Z177" i="3"/>
  <c r="AE226" i="3"/>
  <c r="Z158" i="3"/>
  <c r="AE192" i="3"/>
  <c r="AE139" i="3"/>
  <c r="I243" i="3"/>
  <c r="AD243" i="3" s="1"/>
  <c r="F227" i="3"/>
  <c r="AE245" i="3"/>
  <c r="AE118" i="3"/>
  <c r="Z132" i="3"/>
  <c r="AE133" i="3"/>
  <c r="AE146" i="3"/>
  <c r="AE196" i="3"/>
  <c r="AE229" i="3"/>
  <c r="AE201" i="3"/>
  <c r="AE156" i="3"/>
  <c r="AE149" i="3"/>
  <c r="AE158" i="3"/>
  <c r="AE184" i="3"/>
  <c r="Z221" i="3"/>
  <c r="Z214" i="3"/>
  <c r="AE161" i="3"/>
  <c r="W203" i="2"/>
  <c r="P153" i="2"/>
  <c r="P154" i="2"/>
  <c r="P158" i="2"/>
  <c r="P159" i="2"/>
  <c r="P160" i="2"/>
  <c r="P161" i="2"/>
  <c r="P162" i="2"/>
  <c r="P163" i="2"/>
  <c r="P164" i="2"/>
  <c r="T171" i="2"/>
  <c r="Y171" i="2" s="1"/>
  <c r="W172" i="2"/>
  <c r="P178" i="2"/>
  <c r="T182" i="2"/>
  <c r="Y182" i="2" s="1"/>
  <c r="W185" i="2"/>
  <c r="P190" i="2"/>
  <c r="R192" i="2"/>
  <c r="R193" i="2"/>
  <c r="T195" i="2"/>
  <c r="Y195" i="2" s="1"/>
  <c r="W197" i="2"/>
  <c r="P205" i="2"/>
  <c r="R210" i="2"/>
  <c r="R211" i="2"/>
  <c r="P148" i="2"/>
  <c r="P149" i="2"/>
  <c r="P150" i="2"/>
  <c r="P151" i="2"/>
  <c r="P152" i="2"/>
  <c r="R155" i="2"/>
  <c r="R156" i="2"/>
  <c r="R157" i="2"/>
  <c r="W171" i="2"/>
  <c r="W182" i="2"/>
  <c r="P189" i="2"/>
  <c r="R191" i="2"/>
  <c r="S192" i="2"/>
  <c r="W195" i="2"/>
  <c r="P203" i="2"/>
  <c r="P204" i="2"/>
  <c r="R209" i="2"/>
  <c r="S210" i="2"/>
  <c r="S211" i="2"/>
  <c r="R153" i="2"/>
  <c r="R154" i="2"/>
  <c r="R159" i="2"/>
  <c r="R160" i="2"/>
  <c r="R161" i="2"/>
  <c r="R162" i="2"/>
  <c r="R163" i="2"/>
  <c r="R164" i="2"/>
  <c r="R178" i="2"/>
  <c r="R190" i="2"/>
  <c r="T191" i="2"/>
  <c r="R205" i="2"/>
  <c r="R148" i="2"/>
  <c r="R149" i="2"/>
  <c r="R150" i="2"/>
  <c r="R151" i="2"/>
  <c r="R152" i="2"/>
  <c r="S153" i="2"/>
  <c r="S158" i="2"/>
  <c r="S159" i="2"/>
  <c r="S160" i="2"/>
  <c r="S161" i="2"/>
  <c r="S162" i="2"/>
  <c r="S163" i="2"/>
  <c r="R189" i="2"/>
  <c r="S190" i="2"/>
  <c r="R203" i="2"/>
  <c r="R204" i="2"/>
  <c r="S148" i="2"/>
  <c r="S149" i="2"/>
  <c r="S150" i="2"/>
  <c r="S151" i="2"/>
  <c r="T152" i="2"/>
  <c r="Y152" i="2" s="1"/>
  <c r="T189" i="2"/>
  <c r="Y189" i="2" s="1"/>
  <c r="S203" i="2"/>
  <c r="T204" i="2"/>
  <c r="Y204" i="2" s="1"/>
  <c r="AW242" i="3" l="1"/>
  <c r="AX242" i="3"/>
  <c r="AW114" i="3"/>
  <c r="AX114" i="3"/>
  <c r="AW142" i="3"/>
  <c r="AX142" i="3"/>
  <c r="AW119" i="3"/>
  <c r="AX119" i="3"/>
  <c r="AW237" i="3"/>
  <c r="AX237" i="3"/>
  <c r="AW135" i="3"/>
  <c r="AX135" i="3"/>
  <c r="AW218" i="3"/>
  <c r="AX218" i="3"/>
  <c r="AW130" i="3"/>
  <c r="AX130" i="3"/>
  <c r="AW185" i="3"/>
  <c r="AX185" i="3"/>
  <c r="AW147" i="3"/>
  <c r="AX147" i="3"/>
  <c r="AW164" i="3"/>
  <c r="AX164" i="3"/>
  <c r="AW188" i="3"/>
  <c r="AX188" i="3"/>
  <c r="AW225" i="3"/>
  <c r="AX225" i="3"/>
  <c r="AW109" i="3"/>
  <c r="V109" i="3"/>
  <c r="V142" i="3"/>
  <c r="V185" i="3"/>
  <c r="V147" i="3"/>
  <c r="AW215" i="3"/>
  <c r="V215" i="3"/>
  <c r="AW213" i="3"/>
  <c r="V213" i="3"/>
  <c r="R154" i="3"/>
  <c r="U243" i="3"/>
  <c r="Y243" i="3"/>
  <c r="W243" i="3"/>
  <c r="V188" i="3"/>
  <c r="V135" i="3"/>
  <c r="V119" i="3"/>
  <c r="V114" i="3"/>
  <c r="V242" i="3"/>
  <c r="V237" i="3"/>
  <c r="V218" i="3"/>
  <c r="Q209" i="3"/>
  <c r="U136" i="3"/>
  <c r="Y136" i="3"/>
  <c r="W136" i="3"/>
  <c r="V195" i="3"/>
  <c r="V225" i="3"/>
  <c r="V164" i="3"/>
  <c r="V130" i="3"/>
  <c r="V163" i="3"/>
  <c r="V199" i="3"/>
  <c r="V152" i="3"/>
  <c r="V186" i="3"/>
  <c r="S231" i="3"/>
  <c r="R173" i="3"/>
  <c r="T173" i="3" s="1"/>
  <c r="F123" i="6"/>
  <c r="F116" i="6"/>
  <c r="F135" i="6"/>
  <c r="F118" i="6"/>
  <c r="F138" i="6"/>
  <c r="F120" i="6"/>
  <c r="F139" i="6"/>
  <c r="F122" i="6"/>
  <c r="F131" i="6"/>
  <c r="F121" i="6"/>
  <c r="F133" i="6"/>
  <c r="Q153" i="3"/>
  <c r="T153" i="3" s="1"/>
  <c r="S173" i="3"/>
  <c r="AX173" i="3" s="1"/>
  <c r="Q117" i="3"/>
  <c r="T117" i="3" s="1"/>
  <c r="S117" i="3"/>
  <c r="AX117" i="3" s="1"/>
  <c r="Q128" i="3"/>
  <c r="T128" i="3" s="1"/>
  <c r="R164" i="3"/>
  <c r="Q164" i="3"/>
  <c r="R109" i="3"/>
  <c r="Q109" i="3"/>
  <c r="R185" i="3"/>
  <c r="Q185" i="3"/>
  <c r="R218" i="3"/>
  <c r="Q218" i="3"/>
  <c r="R188" i="3"/>
  <c r="Q188" i="3"/>
  <c r="Q198" i="3"/>
  <c r="R198" i="3"/>
  <c r="R130" i="3"/>
  <c r="Q130" i="3"/>
  <c r="Q147" i="3"/>
  <c r="R147" i="3"/>
  <c r="Q242" i="3"/>
  <c r="S153" i="3"/>
  <c r="AX153" i="3" s="1"/>
  <c r="S198" i="3"/>
  <c r="AX198" i="3" s="1"/>
  <c r="S128" i="3"/>
  <c r="S190" i="3"/>
  <c r="AX190" i="3" s="1"/>
  <c r="Q190" i="3"/>
  <c r="T190" i="3" s="1"/>
  <c r="S122" i="3"/>
  <c r="AX122" i="3" s="1"/>
  <c r="Q122" i="3"/>
  <c r="T122" i="3" s="1"/>
  <c r="Q229" i="3"/>
  <c r="T229" i="3" s="1"/>
  <c r="Q135" i="3"/>
  <c r="Q186" i="3"/>
  <c r="R186" i="3"/>
  <c r="R135" i="3"/>
  <c r="R242" i="3"/>
  <c r="S104" i="3"/>
  <c r="R104" i="3"/>
  <c r="Q104" i="3"/>
  <c r="R105" i="3"/>
  <c r="S105" i="3"/>
  <c r="AX105" i="3" s="1"/>
  <c r="Q105" i="3"/>
  <c r="R233" i="3"/>
  <c r="Q233" i="3"/>
  <c r="S233" i="3"/>
  <c r="R206" i="3"/>
  <c r="T206" i="3" s="1"/>
  <c r="R136" i="3"/>
  <c r="S208" i="3"/>
  <c r="R208" i="3"/>
  <c r="Q208" i="3"/>
  <c r="S141" i="3"/>
  <c r="AX141" i="3" s="1"/>
  <c r="R141" i="3"/>
  <c r="Q141" i="3"/>
  <c r="S155" i="3"/>
  <c r="AX155" i="3" s="1"/>
  <c r="Q155" i="3"/>
  <c r="R155" i="3"/>
  <c r="S139" i="3"/>
  <c r="AX139" i="3" s="1"/>
  <c r="R221" i="3"/>
  <c r="T221" i="3" s="1"/>
  <c r="S235" i="3"/>
  <c r="AX235" i="3" s="1"/>
  <c r="S145" i="3"/>
  <c r="R145" i="3"/>
  <c r="T145" i="3" s="1"/>
  <c r="Q119" i="3"/>
  <c r="R139" i="3"/>
  <c r="T139" i="3" s="1"/>
  <c r="R194" i="3"/>
  <c r="T194" i="3" s="1"/>
  <c r="S214" i="3"/>
  <c r="AX214" i="3" s="1"/>
  <c r="R214" i="3"/>
  <c r="T214" i="3" s="1"/>
  <c r="S125" i="3"/>
  <c r="AX125" i="3" s="1"/>
  <c r="R125" i="3"/>
  <c r="T125" i="3" s="1"/>
  <c r="R199" i="3"/>
  <c r="Q199" i="3"/>
  <c r="R119" i="3"/>
  <c r="R235" i="3"/>
  <c r="T235" i="3" s="1"/>
  <c r="S193" i="3"/>
  <c r="AX193" i="3" s="1"/>
  <c r="S226" i="3"/>
  <c r="AX226" i="3" s="1"/>
  <c r="R226" i="3"/>
  <c r="T226" i="3" s="1"/>
  <c r="R193" i="3"/>
  <c r="T193" i="3" s="1"/>
  <c r="R151" i="3"/>
  <c r="T151" i="3" s="1"/>
  <c r="S241" i="3"/>
  <c r="AX241" i="3" s="1"/>
  <c r="Q142" i="3"/>
  <c r="S206" i="3"/>
  <c r="AX206" i="3" s="1"/>
  <c r="R195" i="3"/>
  <c r="Q192" i="3"/>
  <c r="T192" i="3" s="1"/>
  <c r="R142" i="3"/>
  <c r="S140" i="3"/>
  <c r="AX140" i="3" s="1"/>
  <c r="R158" i="3"/>
  <c r="T158" i="3" s="1"/>
  <c r="R237" i="3"/>
  <c r="R167" i="3"/>
  <c r="T167" i="3" s="1"/>
  <c r="S132" i="3"/>
  <c r="AX132" i="3" s="1"/>
  <c r="R140" i="3"/>
  <c r="T140" i="3" s="1"/>
  <c r="S178" i="3"/>
  <c r="R178" i="3"/>
  <c r="T178" i="3" s="1"/>
  <c r="R132" i="3"/>
  <c r="T132" i="3" s="1"/>
  <c r="R127" i="3"/>
  <c r="T127" i="3" s="1"/>
  <c r="R228" i="3"/>
  <c r="T228" i="3" s="1"/>
  <c r="S167" i="3"/>
  <c r="AX167" i="3" s="1"/>
  <c r="S228" i="3"/>
  <c r="AX228" i="3" s="1"/>
  <c r="S127" i="3"/>
  <c r="S151" i="3"/>
  <c r="AX151" i="3" s="1"/>
  <c r="Q154" i="3"/>
  <c r="S158" i="3"/>
  <c r="AX158" i="3" s="1"/>
  <c r="S234" i="3"/>
  <c r="AX234" i="3" s="1"/>
  <c r="S154" i="3"/>
  <c r="AX154" i="3" s="1"/>
  <c r="S133" i="3"/>
  <c r="AX133" i="3" s="1"/>
  <c r="R181" i="3"/>
  <c r="T181" i="3" s="1"/>
  <c r="S168" i="3"/>
  <c r="AX168" i="3" s="1"/>
  <c r="Q166" i="3"/>
  <c r="T166" i="3" s="1"/>
  <c r="S150" i="3"/>
  <c r="AX150" i="3" s="1"/>
  <c r="R133" i="3"/>
  <c r="T133" i="3" s="1"/>
  <c r="S116" i="3"/>
  <c r="Q204" i="3"/>
  <c r="T204" i="3" s="1"/>
  <c r="Q237" i="3"/>
  <c r="Q168" i="3"/>
  <c r="T168" i="3" s="1"/>
  <c r="S166" i="3"/>
  <c r="AX166" i="3" s="1"/>
  <c r="S192" i="3"/>
  <c r="AX192" i="3" s="1"/>
  <c r="R150" i="3"/>
  <c r="T150" i="3" s="1"/>
  <c r="S204" i="3"/>
  <c r="AX204" i="3" s="1"/>
  <c r="R234" i="3"/>
  <c r="T234" i="3" s="1"/>
  <c r="R157" i="3"/>
  <c r="T157" i="3" s="1"/>
  <c r="Q114" i="3"/>
  <c r="S181" i="3"/>
  <c r="AX181" i="3" s="1"/>
  <c r="Q195" i="3"/>
  <c r="S176" i="3"/>
  <c r="AX176" i="3" s="1"/>
  <c r="S184" i="3"/>
  <c r="R230" i="3"/>
  <c r="T230" i="3" s="1"/>
  <c r="S230" i="3"/>
  <c r="AX230" i="3" s="1"/>
  <c r="R225" i="3"/>
  <c r="R184" i="3"/>
  <c r="T184" i="3" s="1"/>
  <c r="S157" i="3"/>
  <c r="AX157" i="3" s="1"/>
  <c r="R215" i="3"/>
  <c r="Q187" i="3"/>
  <c r="T187" i="3" s="1"/>
  <c r="Q215" i="3"/>
  <c r="R220" i="3"/>
  <c r="T220" i="3" s="1"/>
  <c r="S209" i="3"/>
  <c r="S229" i="3"/>
  <c r="AX229" i="3" s="1"/>
  <c r="R209" i="3"/>
  <c r="T209" i="3" s="1"/>
  <c r="R176" i="3"/>
  <c r="T176" i="3" s="1"/>
  <c r="S221" i="3"/>
  <c r="AX221" i="3" s="1"/>
  <c r="R232" i="3"/>
  <c r="T232" i="3" s="1"/>
  <c r="S232" i="3"/>
  <c r="AX232" i="3" s="1"/>
  <c r="S121" i="3"/>
  <c r="Q126" i="3"/>
  <c r="T126" i="3" s="1"/>
  <c r="Q213" i="3"/>
  <c r="R121" i="3"/>
  <c r="T121" i="3" s="1"/>
  <c r="S161" i="3"/>
  <c r="AX161" i="3" s="1"/>
  <c r="R210" i="3"/>
  <c r="T210" i="3" s="1"/>
  <c r="R114" i="3"/>
  <c r="Q172" i="3"/>
  <c r="T172" i="3" s="1"/>
  <c r="R161" i="3"/>
  <c r="T161" i="3" s="1"/>
  <c r="S172" i="3"/>
  <c r="S240" i="3"/>
  <c r="AX240" i="3" s="1"/>
  <c r="R236" i="3"/>
  <c r="T236" i="3" s="1"/>
  <c r="Q108" i="3"/>
  <c r="T108" i="3" s="1"/>
  <c r="R116" i="3"/>
  <c r="T116" i="3" s="1"/>
  <c r="S236" i="3"/>
  <c r="AX236" i="3" s="1"/>
  <c r="S108" i="3"/>
  <c r="S194" i="3"/>
  <c r="AX194" i="3" s="1"/>
  <c r="S126" i="3"/>
  <c r="AX126" i="3" s="1"/>
  <c r="R134" i="3"/>
  <c r="T134" i="3" s="1"/>
  <c r="Q163" i="3"/>
  <c r="S182" i="3"/>
  <c r="AX182" i="3" s="1"/>
  <c r="R240" i="3"/>
  <c r="T240" i="3" s="1"/>
  <c r="S134" i="3"/>
  <c r="AX134" i="3" s="1"/>
  <c r="R182" i="3"/>
  <c r="T182" i="3" s="1"/>
  <c r="S203" i="3"/>
  <c r="AX203" i="3" s="1"/>
  <c r="S219" i="3"/>
  <c r="AX219" i="3" s="1"/>
  <c r="R219" i="3"/>
  <c r="T219" i="3" s="1"/>
  <c r="S210" i="3"/>
  <c r="S191" i="3"/>
  <c r="AX191" i="3" s="1"/>
  <c r="R152" i="3"/>
  <c r="R203" i="3"/>
  <c r="T203" i="3" s="1"/>
  <c r="Q152" i="3"/>
  <c r="Q241" i="3"/>
  <c r="T241" i="3" s="1"/>
  <c r="Q225" i="3"/>
  <c r="Q223" i="3"/>
  <c r="T223" i="3" s="1"/>
  <c r="S223" i="3"/>
  <c r="AX223" i="3" s="1"/>
  <c r="R191" i="3"/>
  <c r="T191" i="3" s="1"/>
  <c r="S187" i="3"/>
  <c r="Q222" i="3"/>
  <c r="T222" i="3" s="1"/>
  <c r="R171" i="3"/>
  <c r="T171" i="3" s="1"/>
  <c r="S171" i="3"/>
  <c r="AX171" i="3" s="1"/>
  <c r="S222" i="3"/>
  <c r="AX222" i="3" s="1"/>
  <c r="Q175" i="3"/>
  <c r="T175" i="3" s="1"/>
  <c r="S162" i="3"/>
  <c r="AX162" i="3" s="1"/>
  <c r="S220" i="3"/>
  <c r="AX220" i="3" s="1"/>
  <c r="S175" i="3"/>
  <c r="AX175" i="3" s="1"/>
  <c r="R162" i="3"/>
  <c r="T162" i="3" s="1"/>
  <c r="R163" i="3"/>
  <c r="R213" i="3"/>
  <c r="S120" i="3"/>
  <c r="AX120" i="3" s="1"/>
  <c r="Q120" i="3"/>
  <c r="T120" i="3" s="1"/>
  <c r="Q115" i="3"/>
  <c r="T115" i="3" s="1"/>
  <c r="S115" i="3"/>
  <c r="AX115" i="3" s="1"/>
  <c r="Q217" i="3"/>
  <c r="S217" i="3"/>
  <c r="AX217" i="3" s="1"/>
  <c r="Q111" i="3"/>
  <c r="T111" i="3" s="1"/>
  <c r="S111" i="3"/>
  <c r="AX111" i="3" s="1"/>
  <c r="S216" i="3"/>
  <c r="Q124" i="3"/>
  <c r="S124" i="3"/>
  <c r="AX124" i="3" s="1"/>
  <c r="R216" i="3"/>
  <c r="T216" i="3" s="1"/>
  <c r="S137" i="3"/>
  <c r="AX137" i="3" s="1"/>
  <c r="S107" i="3"/>
  <c r="R107" i="3"/>
  <c r="T107" i="3" s="1"/>
  <c r="R137" i="3"/>
  <c r="T137" i="3" s="1"/>
  <c r="R217" i="3"/>
  <c r="R124" i="3"/>
  <c r="Q143" i="3"/>
  <c r="T143" i="3" s="1"/>
  <c r="S143" i="3"/>
  <c r="AX143" i="3" s="1"/>
  <c r="R183" i="3"/>
  <c r="T183" i="3" s="1"/>
  <c r="S183" i="3"/>
  <c r="Q129" i="3"/>
  <c r="R129" i="3"/>
  <c r="Q189" i="3"/>
  <c r="R189" i="3"/>
  <c r="S189" i="3"/>
  <c r="Q169" i="3"/>
  <c r="R169" i="3"/>
  <c r="S169" i="3"/>
  <c r="AX169" i="3" s="1"/>
  <c r="Q123" i="3"/>
  <c r="R123" i="3"/>
  <c r="S123" i="3"/>
  <c r="AX123" i="3" s="1"/>
  <c r="Q112" i="3"/>
  <c r="R112" i="3"/>
  <c r="S112" i="3"/>
  <c r="AX112" i="3" s="1"/>
  <c r="S106" i="3"/>
  <c r="AX106" i="3" s="1"/>
  <c r="R106" i="3"/>
  <c r="Q106" i="3"/>
  <c r="R156" i="3"/>
  <c r="S156" i="3"/>
  <c r="AX156" i="3" s="1"/>
  <c r="Q156" i="3"/>
  <c r="R245" i="3"/>
  <c r="S245" i="3"/>
  <c r="AX245" i="3" s="1"/>
  <c r="Q245" i="3"/>
  <c r="Q180" i="3"/>
  <c r="R180" i="3"/>
  <c r="S180" i="3"/>
  <c r="AX180" i="3" s="1"/>
  <c r="Q110" i="3"/>
  <c r="R110" i="3"/>
  <c r="S110" i="3"/>
  <c r="AX110" i="3" s="1"/>
  <c r="Q144" i="3"/>
  <c r="R144" i="3"/>
  <c r="S144" i="3"/>
  <c r="AX144" i="3" s="1"/>
  <c r="R149" i="3"/>
  <c r="S149" i="3"/>
  <c r="AX149" i="3" s="1"/>
  <c r="Q149" i="3"/>
  <c r="R118" i="3"/>
  <c r="S118" i="3"/>
  <c r="AX118" i="3" s="1"/>
  <c r="Q118" i="3"/>
  <c r="Q205" i="3"/>
  <c r="R205" i="3"/>
  <c r="S205" i="3"/>
  <c r="AX205" i="3" s="1"/>
  <c r="Q238" i="3"/>
  <c r="R238" i="3"/>
  <c r="S238" i="3"/>
  <c r="AX238" i="3" s="1"/>
  <c r="Q239" i="3"/>
  <c r="R239" i="3"/>
  <c r="S239" i="3"/>
  <c r="AX239" i="3" s="1"/>
  <c r="Q207" i="3"/>
  <c r="R207" i="3"/>
  <c r="S207" i="3"/>
  <c r="S201" i="3"/>
  <c r="AX201" i="3" s="1"/>
  <c r="Q201" i="3"/>
  <c r="R201" i="3"/>
  <c r="Q244" i="3"/>
  <c r="S244" i="3"/>
  <c r="Q196" i="3"/>
  <c r="R196" i="3"/>
  <c r="S196" i="3"/>
  <c r="AX196" i="3" s="1"/>
  <c r="Q174" i="3"/>
  <c r="R174" i="3"/>
  <c r="S174" i="3"/>
  <c r="AX174" i="3" s="1"/>
  <c r="Q224" i="3"/>
  <c r="R224" i="3"/>
  <c r="S224" i="3"/>
  <c r="AX224" i="3" s="1"/>
  <c r="Q179" i="3"/>
  <c r="R179" i="3"/>
  <c r="S179" i="3"/>
  <c r="AX179" i="3" s="1"/>
  <c r="Q148" i="3"/>
  <c r="R148" i="3"/>
  <c r="S148" i="3"/>
  <c r="AX148" i="3" s="1"/>
  <c r="I227" i="3"/>
  <c r="Q197" i="3"/>
  <c r="R197" i="3"/>
  <c r="S197" i="3"/>
  <c r="AX197" i="3" s="1"/>
  <c r="Q160" i="3"/>
  <c r="R160" i="3"/>
  <c r="S160" i="3"/>
  <c r="AX160" i="3" s="1"/>
  <c r="Q212" i="3"/>
  <c r="R212" i="3"/>
  <c r="S212" i="3"/>
  <c r="AX212" i="3" s="1"/>
  <c r="Q211" i="3"/>
  <c r="R211" i="3"/>
  <c r="S211" i="3"/>
  <c r="AX211" i="3" s="1"/>
  <c r="Q159" i="3"/>
  <c r="R159" i="3"/>
  <c r="S159" i="3"/>
  <c r="AX159" i="3" s="1"/>
  <c r="Q170" i="3"/>
  <c r="R170" i="3"/>
  <c r="S170" i="3"/>
  <c r="AX170" i="3" s="1"/>
  <c r="S146" i="3"/>
  <c r="Q146" i="3"/>
  <c r="R146" i="3"/>
  <c r="S177" i="3"/>
  <c r="AX177" i="3" s="1"/>
  <c r="Q177" i="3"/>
  <c r="R177" i="3"/>
  <c r="Q202" i="3"/>
  <c r="R202" i="3"/>
  <c r="S202" i="3"/>
  <c r="AX202" i="3" s="1"/>
  <c r="Q200" i="3"/>
  <c r="R200" i="3"/>
  <c r="S200" i="3"/>
  <c r="AX200" i="3" s="1"/>
  <c r="Q113" i="3"/>
  <c r="R113" i="3"/>
  <c r="S113" i="3"/>
  <c r="R131" i="3"/>
  <c r="Q131" i="3"/>
  <c r="S131" i="3"/>
  <c r="AX131" i="3" s="1"/>
  <c r="Q165" i="3"/>
  <c r="T165" i="3" s="1"/>
  <c r="S165" i="3"/>
  <c r="V128" i="3" l="1"/>
  <c r="AX128" i="3"/>
  <c r="AW124" i="3"/>
  <c r="V124" i="3"/>
  <c r="AW229" i="3"/>
  <c r="V229" i="3"/>
  <c r="AW154" i="3"/>
  <c r="V154" i="3"/>
  <c r="AW241" i="3"/>
  <c r="V241" i="3"/>
  <c r="AW155" i="3"/>
  <c r="V155" i="3"/>
  <c r="AW200" i="3"/>
  <c r="V200" i="3"/>
  <c r="AW238" i="3"/>
  <c r="V238" i="3"/>
  <c r="AW240" i="3"/>
  <c r="V240" i="3"/>
  <c r="AW131" i="3"/>
  <c r="V131" i="3"/>
  <c r="AW211" i="3"/>
  <c r="V211" i="3"/>
  <c r="AW179" i="3"/>
  <c r="V179" i="3"/>
  <c r="AW201" i="3"/>
  <c r="V201" i="3"/>
  <c r="AW156" i="3"/>
  <c r="V156" i="3"/>
  <c r="AW123" i="3"/>
  <c r="V123" i="3"/>
  <c r="AW216" i="3"/>
  <c r="V216" i="3"/>
  <c r="AW120" i="3"/>
  <c r="V120" i="3"/>
  <c r="AW222" i="3"/>
  <c r="V222" i="3"/>
  <c r="AW219" i="3"/>
  <c r="V219" i="3"/>
  <c r="AW126" i="3"/>
  <c r="V126" i="3"/>
  <c r="AW172" i="3"/>
  <c r="V172" i="3"/>
  <c r="AW209" i="3"/>
  <c r="V209" i="3"/>
  <c r="AW230" i="3"/>
  <c r="V230" i="3"/>
  <c r="AW234" i="3"/>
  <c r="V234" i="3"/>
  <c r="AW104" i="3"/>
  <c r="V104" i="3"/>
  <c r="AW122" i="3"/>
  <c r="V122" i="3"/>
  <c r="AW117" i="3"/>
  <c r="V117" i="3"/>
  <c r="AW118" i="3"/>
  <c r="V118" i="3"/>
  <c r="AW189" i="3"/>
  <c r="V189" i="3"/>
  <c r="AW223" i="3"/>
  <c r="V223" i="3"/>
  <c r="AW133" i="3"/>
  <c r="V133" i="3"/>
  <c r="AW146" i="3"/>
  <c r="V146" i="3"/>
  <c r="AW180" i="3"/>
  <c r="V180" i="3"/>
  <c r="AW121" i="3"/>
  <c r="V121" i="3"/>
  <c r="AW170" i="3"/>
  <c r="V170" i="3"/>
  <c r="AW205" i="3"/>
  <c r="V205" i="3"/>
  <c r="AW108" i="3"/>
  <c r="V108" i="3"/>
  <c r="AW232" i="3"/>
  <c r="V232" i="3"/>
  <c r="AW184" i="3"/>
  <c r="V184" i="3"/>
  <c r="AW150" i="3"/>
  <c r="V150" i="3"/>
  <c r="T154" i="3"/>
  <c r="AW125" i="3"/>
  <c r="V125" i="3"/>
  <c r="AW235" i="3"/>
  <c r="V235" i="3"/>
  <c r="AW141" i="3"/>
  <c r="V141" i="3"/>
  <c r="AW190" i="3"/>
  <c r="V190" i="3"/>
  <c r="AW173" i="3"/>
  <c r="V173" i="3"/>
  <c r="AW177" i="3"/>
  <c r="V177" i="3"/>
  <c r="AW113" i="3"/>
  <c r="V113" i="3"/>
  <c r="AW212" i="3"/>
  <c r="V212" i="3"/>
  <c r="AW224" i="3"/>
  <c r="V224" i="3"/>
  <c r="AW144" i="3"/>
  <c r="V144" i="3"/>
  <c r="AW169" i="3"/>
  <c r="V169" i="3"/>
  <c r="AW183" i="3"/>
  <c r="V183" i="3"/>
  <c r="AW107" i="3"/>
  <c r="V107" i="3"/>
  <c r="AW217" i="3"/>
  <c r="V217" i="3"/>
  <c r="AW134" i="3"/>
  <c r="V134" i="3"/>
  <c r="AW236" i="3"/>
  <c r="V236" i="3"/>
  <c r="AW176" i="3"/>
  <c r="V176" i="3"/>
  <c r="AW192" i="3"/>
  <c r="V192" i="3"/>
  <c r="AW151" i="3"/>
  <c r="V151" i="3"/>
  <c r="AW178" i="3"/>
  <c r="V178" i="3"/>
  <c r="AW226" i="3"/>
  <c r="V226" i="3"/>
  <c r="AW128" i="3"/>
  <c r="AW174" i="3"/>
  <c r="V174" i="3"/>
  <c r="AW162" i="3"/>
  <c r="V162" i="3"/>
  <c r="AW167" i="3"/>
  <c r="V167" i="3"/>
  <c r="AW202" i="3"/>
  <c r="V202" i="3"/>
  <c r="AW197" i="3"/>
  <c r="V197" i="3"/>
  <c r="AW196" i="3"/>
  <c r="V196" i="3"/>
  <c r="AW171" i="3"/>
  <c r="V171" i="3"/>
  <c r="AW203" i="3"/>
  <c r="V203" i="3"/>
  <c r="S138" i="3"/>
  <c r="AX138" i="3" s="1"/>
  <c r="U227" i="3"/>
  <c r="Y227" i="3"/>
  <c r="W227" i="3"/>
  <c r="AD227" i="3"/>
  <c r="AW239" i="3"/>
  <c r="V239" i="3"/>
  <c r="AW106" i="3"/>
  <c r="V106" i="3"/>
  <c r="AW137" i="3"/>
  <c r="V137" i="3"/>
  <c r="AW175" i="3"/>
  <c r="V175" i="3"/>
  <c r="AW187" i="3"/>
  <c r="V187" i="3"/>
  <c r="AW221" i="3"/>
  <c r="V221" i="3"/>
  <c r="AW166" i="3"/>
  <c r="V166" i="3"/>
  <c r="AW168" i="3"/>
  <c r="V168" i="3"/>
  <c r="AW127" i="3"/>
  <c r="V127" i="3"/>
  <c r="AW193" i="3"/>
  <c r="V193" i="3"/>
  <c r="AW214" i="3"/>
  <c r="V214" i="3"/>
  <c r="AW139" i="3"/>
  <c r="V139" i="3"/>
  <c r="AW105" i="3"/>
  <c r="V105" i="3"/>
  <c r="AW198" i="3"/>
  <c r="V198" i="3"/>
  <c r="AW160" i="3"/>
  <c r="V160" i="3"/>
  <c r="AW110" i="3"/>
  <c r="V110" i="3"/>
  <c r="AW149" i="3"/>
  <c r="V149" i="3"/>
  <c r="AW111" i="3"/>
  <c r="V111" i="3"/>
  <c r="AW194" i="3"/>
  <c r="V194" i="3"/>
  <c r="AW204" i="3"/>
  <c r="V204" i="3"/>
  <c r="AW158" i="3"/>
  <c r="V158" i="3"/>
  <c r="AW140" i="3"/>
  <c r="V140" i="3"/>
  <c r="AW145" i="3"/>
  <c r="V145" i="3"/>
  <c r="AW159" i="3"/>
  <c r="V159" i="3"/>
  <c r="AW148" i="3"/>
  <c r="V148" i="3"/>
  <c r="AW245" i="3"/>
  <c r="V245" i="3"/>
  <c r="AW112" i="3"/>
  <c r="V112" i="3"/>
  <c r="AW143" i="3"/>
  <c r="V143" i="3"/>
  <c r="AW115" i="3"/>
  <c r="V115" i="3"/>
  <c r="AW220" i="3"/>
  <c r="V220" i="3"/>
  <c r="AW191" i="3"/>
  <c r="V191" i="3"/>
  <c r="AW182" i="3"/>
  <c r="V182" i="3"/>
  <c r="AW161" i="3"/>
  <c r="V161" i="3"/>
  <c r="AW157" i="3"/>
  <c r="V157" i="3"/>
  <c r="AW181" i="3"/>
  <c r="V181" i="3"/>
  <c r="AW228" i="3"/>
  <c r="V228" i="3"/>
  <c r="AW132" i="3"/>
  <c r="V132" i="3"/>
  <c r="AW206" i="3"/>
  <c r="V206" i="3"/>
  <c r="AW153" i="3"/>
  <c r="V153" i="3"/>
  <c r="T164" i="3"/>
  <c r="T160" i="3"/>
  <c r="T174" i="3"/>
  <c r="T169" i="3"/>
  <c r="T163" i="3"/>
  <c r="T180" i="3"/>
  <c r="Q138" i="3"/>
  <c r="T177" i="3"/>
  <c r="R138" i="3"/>
  <c r="T138" i="3" s="1"/>
  <c r="T170" i="3"/>
  <c r="T159" i="3"/>
  <c r="T179" i="3"/>
  <c r="G133" i="6"/>
  <c r="O133" i="6"/>
  <c r="G141" i="6"/>
  <c r="O141" i="6"/>
  <c r="G122" i="6"/>
  <c r="O122" i="6"/>
  <c r="O121" i="6"/>
  <c r="G121" i="6"/>
  <c r="G123" i="6"/>
  <c r="O123" i="6"/>
  <c r="G135" i="6"/>
  <c r="O135" i="6"/>
  <c r="G120" i="6"/>
  <c r="O120" i="6"/>
  <c r="G139" i="6"/>
  <c r="O139" i="6"/>
  <c r="G118" i="6"/>
  <c r="O118" i="6"/>
  <c r="G138" i="6"/>
  <c r="O138" i="6"/>
  <c r="G131" i="6"/>
  <c r="O131" i="6"/>
  <c r="G116" i="6"/>
  <c r="O116" i="6"/>
  <c r="T218" i="3"/>
  <c r="T147" i="3"/>
  <c r="T109" i="3"/>
  <c r="T130" i="3"/>
  <c r="T198" i="3"/>
  <c r="T188" i="3"/>
  <c r="T242" i="3"/>
  <c r="T135" i="3"/>
  <c r="T208" i="3"/>
  <c r="T186" i="3"/>
  <c r="T199" i="3"/>
  <c r="T141" i="3"/>
  <c r="T105" i="3"/>
  <c r="T104" i="3"/>
  <c r="T155" i="3"/>
  <c r="T119" i="3"/>
  <c r="T142" i="3"/>
  <c r="T195" i="3"/>
  <c r="T237" i="3"/>
  <c r="T114" i="3"/>
  <c r="T213" i="3"/>
  <c r="T152" i="3"/>
  <c r="T225" i="3"/>
  <c r="T215" i="3"/>
  <c r="T144" i="3"/>
  <c r="Q136" i="3"/>
  <c r="S136" i="3"/>
  <c r="AX136" i="3" s="1"/>
  <c r="T211" i="3"/>
  <c r="T224" i="3"/>
  <c r="T148" i="3"/>
  <c r="T207" i="3"/>
  <c r="T217" i="3"/>
  <c r="T146" i="3"/>
  <c r="T156" i="3"/>
  <c r="T189" i="3"/>
  <c r="T202" i="3"/>
  <c r="T197" i="3"/>
  <c r="T129" i="3"/>
  <c r="T245" i="3"/>
  <c r="T113" i="3"/>
  <c r="T238" i="3"/>
  <c r="T110" i="3"/>
  <c r="T124" i="3"/>
  <c r="T205" i="3"/>
  <c r="T123" i="3"/>
  <c r="T118" i="3"/>
  <c r="T200" i="3"/>
  <c r="T201" i="3"/>
  <c r="T239" i="3"/>
  <c r="Q243" i="3"/>
  <c r="R243" i="3"/>
  <c r="S243" i="3"/>
  <c r="AX243" i="3" s="1"/>
  <c r="T112" i="3"/>
  <c r="T212" i="3"/>
  <c r="T196" i="3"/>
  <c r="T149" i="3"/>
  <c r="T131" i="3"/>
  <c r="T106" i="3"/>
  <c r="AW243" i="3" l="1"/>
  <c r="V243" i="3"/>
  <c r="AW136" i="3"/>
  <c r="V136" i="3"/>
  <c r="AW138" i="3"/>
  <c r="V138" i="3"/>
  <c r="P121" i="6"/>
  <c r="AG121" i="6" s="1"/>
  <c r="Q121" i="6"/>
  <c r="P131" i="6"/>
  <c r="AG131" i="6" s="1"/>
  <c r="Q131" i="6"/>
  <c r="P120" i="6"/>
  <c r="AG120" i="6" s="1"/>
  <c r="Q120" i="6"/>
  <c r="P122" i="6"/>
  <c r="AG122" i="6" s="1"/>
  <c r="Q122" i="6"/>
  <c r="Q135" i="6"/>
  <c r="P135" i="6"/>
  <c r="AG135" i="6" s="1"/>
  <c r="P141" i="6"/>
  <c r="AG141" i="6" s="1"/>
  <c r="Q141" i="6"/>
  <c r="P139" i="6"/>
  <c r="AG139" i="6" s="1"/>
  <c r="Q139" i="6"/>
  <c r="P138" i="6"/>
  <c r="AG138" i="6" s="1"/>
  <c r="Q138" i="6"/>
  <c r="P118" i="6"/>
  <c r="AG118" i="6" s="1"/>
  <c r="Q118" i="6"/>
  <c r="P123" i="6"/>
  <c r="AG123" i="6" s="1"/>
  <c r="Q123" i="6"/>
  <c r="P133" i="6"/>
  <c r="AG133" i="6" s="1"/>
  <c r="Q133" i="6"/>
  <c r="P116" i="6"/>
  <c r="AG116" i="6" s="1"/>
  <c r="Q116" i="6"/>
  <c r="T243" i="3"/>
  <c r="Q227" i="3"/>
  <c r="R227" i="3"/>
  <c r="S227" i="3"/>
  <c r="AX227" i="3" s="1"/>
  <c r="AW227" i="3" l="1"/>
  <c r="V227" i="3"/>
  <c r="T22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Kuuliala Lauri</author>
  </authors>
  <commentList>
    <comment ref="H124" authorId="0" shapeId="0" xr:uid="{CA8ED5F8-6BE8-4857-B92E-24BC61FAD051}">
      <text>
        <r>
          <rPr>
            <b/>
            <sz val="9"/>
            <color indexed="81"/>
            <rFont val="Tahoma"/>
            <family val="2"/>
          </rPr>
          <t>Kuuliala Lauri:</t>
        </r>
        <r>
          <rPr>
            <sz val="9"/>
            <color indexed="81"/>
            <rFont val="Tahoma"/>
            <family val="2"/>
          </rPr>
          <t xml:space="preserve">
To be used in ratios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Kuuliala Lauri</author>
  </authors>
  <commentList>
    <comment ref="H124" authorId="0" shapeId="0" xr:uid="{F8B9A950-40AD-44AC-86CA-7E679A5DCB91}">
      <text>
        <r>
          <rPr>
            <b/>
            <sz val="9"/>
            <color indexed="81"/>
            <rFont val="Tahoma"/>
            <family val="2"/>
          </rPr>
          <t>Kuuliala Lauri:</t>
        </r>
        <r>
          <rPr>
            <sz val="9"/>
            <color indexed="81"/>
            <rFont val="Tahoma"/>
            <family val="2"/>
          </rPr>
          <t xml:space="preserve">
To be used in ratios</t>
        </r>
      </text>
    </comment>
  </commentList>
</comments>
</file>

<file path=xl/sharedStrings.xml><?xml version="1.0" encoding="utf-8"?>
<sst xmlns="http://schemas.openxmlformats.org/spreadsheetml/2006/main" count="1651" uniqueCount="868">
  <si>
    <t>Your vessel main particulars</t>
  </si>
  <si>
    <t>Length</t>
  </si>
  <si>
    <t>Breadth</t>
  </si>
  <si>
    <t>Draught</t>
  </si>
  <si>
    <t>Depth</t>
  </si>
  <si>
    <t>DWT</t>
  </si>
  <si>
    <t>Cb</t>
  </si>
  <si>
    <t>Velocity</t>
  </si>
  <si>
    <t>Passengers</t>
  </si>
  <si>
    <t>L/B</t>
  </si>
  <si>
    <t>B/T</t>
  </si>
  <si>
    <t>L/D</t>
  </si>
  <si>
    <t>L/V^(1/3)</t>
  </si>
  <si>
    <t>Fn</t>
  </si>
  <si>
    <t>Δ/DWT</t>
  </si>
  <si>
    <t>Graphs (Red point represens your ship)</t>
  </si>
  <si>
    <t>Dead weight vs Δ/DWT</t>
  </si>
  <si>
    <t xml:space="preserve">Dead weight vs slenderness coefficient </t>
  </si>
  <si>
    <t>L/B  vs Froud number</t>
  </si>
  <si>
    <t>B/T  vs Froud number</t>
  </si>
  <si>
    <t>Length vs Breadth</t>
  </si>
  <si>
    <t xml:space="preserve">Length vs number of passengers </t>
  </si>
  <si>
    <t>Length vs Froud number</t>
  </si>
  <si>
    <t>Breadth vs Draught</t>
  </si>
  <si>
    <t>Length  vs Draught</t>
  </si>
  <si>
    <t>Block coefficient  vs Froud number</t>
  </si>
  <si>
    <t>Length vs Gross tonnage</t>
  </si>
  <si>
    <t>Length  vs L/D</t>
  </si>
  <si>
    <t xml:space="preserve">Statistics </t>
  </si>
  <si>
    <t>Name</t>
  </si>
  <si>
    <t>Build year</t>
  </si>
  <si>
    <t>Passengers (DBL Capacity)</t>
  </si>
  <si>
    <t>Crew</t>
  </si>
  <si>
    <t>L_OA [m]</t>
  </si>
  <si>
    <t>L_PP [m]</t>
  </si>
  <si>
    <t>L [m]</t>
  </si>
  <si>
    <t>Ll [m]</t>
  </si>
  <si>
    <t>D [m]</t>
  </si>
  <si>
    <t>B [m]</t>
  </si>
  <si>
    <t>T [m]</t>
  </si>
  <si>
    <t>delta SW [ton]</t>
  </si>
  <si>
    <t xml:space="preserve">Gross Tonnage[ton] </t>
  </si>
  <si>
    <t>Deadweight[Ton]</t>
  </si>
  <si>
    <t>C_B</t>
  </si>
  <si>
    <t>Cb Alex</t>
  </si>
  <si>
    <t>Cb Schnee</t>
  </si>
  <si>
    <t>Cb PNA</t>
  </si>
  <si>
    <t>Cb ABOUT</t>
  </si>
  <si>
    <t>LBT</t>
  </si>
  <si>
    <t>L/delta^(1/3)</t>
  </si>
  <si>
    <t>L/T</t>
  </si>
  <si>
    <t>P_s [kW]</t>
  </si>
  <si>
    <t>V [knots]</t>
  </si>
  <si>
    <t>V[m/s]</t>
  </si>
  <si>
    <t>F_n</t>
  </si>
  <si>
    <t>P/vs^3</t>
  </si>
  <si>
    <t>Costs[Million]</t>
  </si>
  <si>
    <t>Lyfestyle</t>
  </si>
  <si>
    <t>Propulsion / Propellers</t>
  </si>
  <si>
    <t>Cabins</t>
  </si>
  <si>
    <t>Ice class</t>
  </si>
  <si>
    <t>decks(total)</t>
  </si>
  <si>
    <t>decks(passenger)</t>
  </si>
  <si>
    <t>Kolom4</t>
  </si>
  <si>
    <t>B/D</t>
  </si>
  <si>
    <t>Number / Dimensions of the cabins (size range sq m)</t>
  </si>
  <si>
    <t>Cabins outside view / interior or no view</t>
  </si>
  <si>
    <t>Kolom5</t>
  </si>
  <si>
    <t>Kolom6</t>
  </si>
  <si>
    <t>Kolom7</t>
  </si>
  <si>
    <t>Kolom8</t>
  </si>
  <si>
    <t>Kolom9</t>
  </si>
  <si>
    <t>Kolom10</t>
  </si>
  <si>
    <t>L/v^1/3</t>
  </si>
  <si>
    <t xml:space="preserve"> Freedom of the Seas</t>
  </si>
  <si>
    <t>Standard</t>
  </si>
  <si>
    <t>diesel-electric (75 600kW) / 3 pods (42 000 kW)</t>
  </si>
  <si>
    <t>1817 / 14,2-188,1</t>
  </si>
  <si>
    <t>1084 / 733</t>
  </si>
  <si>
    <t xml:space="preserve"> Oasis of the Seas</t>
  </si>
  <si>
    <t xml:space="preserve">6 Wartsila Diesel Engines (3) of type: 12V 46D CR - (3)of type: 16V 46D CR 3 @ 13.860 MW - 3 @ 18.480MW (97.2 MW) / Azimuth Electric Pods of Pulling Type 3 Azipods @ 20MW/ea)
</t>
  </si>
  <si>
    <t>Adventure of the Seas</t>
  </si>
  <si>
    <t>diesel-electric (75 600kW) / 3 pods</t>
  </si>
  <si>
    <t>1557 / 14,0-126,1</t>
  </si>
  <si>
    <t>939/618</t>
  </si>
  <si>
    <t>AIDAstella</t>
  </si>
  <si>
    <t>Allure of the Seas</t>
  </si>
  <si>
    <t>Antherm of the seas</t>
  </si>
  <si>
    <t>Azamara Quest</t>
  </si>
  <si>
    <t>Ferry-site.dk</t>
  </si>
  <si>
    <t>Caribbean Princess</t>
  </si>
  <si>
    <t>Berlitz: Complete Guide to Cruising and cruise ships 2008</t>
  </si>
  <si>
    <t>Carnival Breeze</t>
  </si>
  <si>
    <t>Carnival Conquest</t>
  </si>
  <si>
    <t>Carnival Destiny</t>
  </si>
  <si>
    <t>Carnival Dream</t>
  </si>
  <si>
    <t>Carnival Ecstasy</t>
  </si>
  <si>
    <t>Carnival Freedom</t>
  </si>
  <si>
    <t>Carnival Legend</t>
  </si>
  <si>
    <t>Carnival Magic</t>
  </si>
  <si>
    <t>Carnival Vista</t>
  </si>
  <si>
    <t>Celebrity Century</t>
  </si>
  <si>
    <t>Celebrity Galaxy</t>
  </si>
  <si>
    <t>Celebrity Reflection</t>
  </si>
  <si>
    <t>Celebrity Silhouette</t>
  </si>
  <si>
    <t>Celebrity Xpedition</t>
  </si>
  <si>
    <t>Cinderella</t>
  </si>
  <si>
    <t>1A Super</t>
  </si>
  <si>
    <t>Clipper Adventurer</t>
  </si>
  <si>
    <t>Clipper Odyssey</t>
  </si>
  <si>
    <t>Cloud</t>
  </si>
  <si>
    <t>Color Fantasy</t>
  </si>
  <si>
    <t>I B</t>
  </si>
  <si>
    <t>Coral Princess</t>
  </si>
  <si>
    <t>Corinthian 2</t>
  </si>
  <si>
    <t>Crystal serenity</t>
  </si>
  <si>
    <t>Marine traffic</t>
  </si>
  <si>
    <t>Crystal symphony</t>
  </si>
  <si>
    <t>Dawn Princess</t>
  </si>
  <si>
    <t>Diamond Princess</t>
  </si>
  <si>
    <t>Disney Dream</t>
  </si>
  <si>
    <t>Disney Fantasy</t>
  </si>
  <si>
    <t>easyCruise One</t>
  </si>
  <si>
    <t>Emerald Princess</t>
  </si>
  <si>
    <t>Enchantment of the Seas</t>
  </si>
  <si>
    <t>Europalink</t>
  </si>
  <si>
    <t>Finnlines</t>
  </si>
  <si>
    <t>Explorer of the Seas</t>
  </si>
  <si>
    <t>Finclipper</t>
  </si>
  <si>
    <t>1A</t>
  </si>
  <si>
    <t>Finnmaid</t>
  </si>
  <si>
    <t>Freedom of the Seas</t>
  </si>
  <si>
    <t>Galapagos Explorer II</t>
  </si>
  <si>
    <t>Galaxy</t>
  </si>
  <si>
    <t>Genting Dream</t>
  </si>
  <si>
    <t>Harmony of the seas</t>
  </si>
  <si>
    <t>HMS Preziosa</t>
  </si>
  <si>
    <t>Ilmatar</t>
  </si>
  <si>
    <t>LHD tehtävä</t>
  </si>
  <si>
    <t>Independence of the Seas</t>
  </si>
  <si>
    <t>diesel-electric / 4 pods</t>
  </si>
  <si>
    <t>1817 / 13,8-188,1</t>
  </si>
  <si>
    <t>Insignia</t>
  </si>
  <si>
    <t>Isabella</t>
  </si>
  <si>
    <t>Island Sky</t>
  </si>
  <si>
    <t>Jewel of the Seas</t>
  </si>
  <si>
    <t>Koningsdam</t>
  </si>
  <si>
    <t>Le Boreal</t>
  </si>
  <si>
    <t>Le Levant</t>
  </si>
  <si>
    <t>Liberty of the Seas</t>
  </si>
  <si>
    <t>diesel-electric / 4 azimuting pods</t>
  </si>
  <si>
    <t>Majestic Princess</t>
  </si>
  <si>
    <t>Majesty of the Seas</t>
  </si>
  <si>
    <t>Marina</t>
  </si>
  <si>
    <t>Mariner</t>
  </si>
  <si>
    <t>Mariner of the Seas</t>
  </si>
  <si>
    <t>diesel-electric (75 600kW) / 3 azimuthing pods</t>
  </si>
  <si>
    <t>Mein Schiff 3</t>
  </si>
  <si>
    <t>Meraviglia</t>
  </si>
  <si>
    <t>MS Bremen</t>
  </si>
  <si>
    <t>MS Diamond</t>
  </si>
  <si>
    <t>MS Hanseatic</t>
  </si>
  <si>
    <t>MSC Divina</t>
  </si>
  <si>
    <t>MSC Fantasia</t>
  </si>
  <si>
    <t>diesel-electric (40 mW) / 2</t>
  </si>
  <si>
    <t>1637 / 15,0-65,0</t>
  </si>
  <si>
    <t>1354 / 283</t>
  </si>
  <si>
    <t>MSC Preziosa</t>
  </si>
  <si>
    <t>MSC Splendida</t>
  </si>
  <si>
    <t>diesel-electric (40 000 kW) / 2</t>
  </si>
  <si>
    <t>1650 / 15-65</t>
  </si>
  <si>
    <t>MV Seabourn Legend</t>
  </si>
  <si>
    <t xml:space="preserve">National Geograhpic Explorer </t>
  </si>
  <si>
    <t>Nautica</t>
  </si>
  <si>
    <t>Navigator</t>
  </si>
  <si>
    <t>Navigator of the Seas</t>
  </si>
  <si>
    <t>Nordlandia</t>
  </si>
  <si>
    <t>Norwegian Breakaway</t>
  </si>
  <si>
    <t>Norwegian Epic</t>
  </si>
  <si>
    <t>Norwegian Escape</t>
  </si>
  <si>
    <t>Norwegian Getaway</t>
  </si>
  <si>
    <t>Norwegian Joy</t>
  </si>
  <si>
    <t>Ocean Diamond</t>
  </si>
  <si>
    <t>Odyssey</t>
  </si>
  <si>
    <t>Orion</t>
  </si>
  <si>
    <t>Quantum of the Seas</t>
  </si>
  <si>
    <t>Queen Elizabeth</t>
  </si>
  <si>
    <t>Queen Mary 2</t>
  </si>
  <si>
    <t>Luxury / premium / standard</t>
  </si>
  <si>
    <t xml:space="preserve">gas turbine (103 000 kW)and diesel electric / 4 pods ( 2 azimuting, 2 fixed / 21,5 MW each) </t>
  </si>
  <si>
    <t>1310 / 18,0-209</t>
  </si>
  <si>
    <t>1017 / 293</t>
  </si>
  <si>
    <t>Queen Victoria</t>
  </si>
  <si>
    <t>Quest</t>
  </si>
  <si>
    <t>Regal Princess</t>
  </si>
  <si>
    <t>Regatta</t>
  </si>
  <si>
    <t>Riviera</t>
  </si>
  <si>
    <t>Rosella</t>
  </si>
  <si>
    <t>Royal Princess</t>
  </si>
  <si>
    <t>Sea Wind</t>
  </si>
  <si>
    <t>Seabourn Legend</t>
  </si>
  <si>
    <t>Seabourn Sojourn</t>
  </si>
  <si>
    <t>Seabourn Spirit</t>
  </si>
  <si>
    <t>SeaDream I</t>
  </si>
  <si>
    <t>Seven Seas Explorer</t>
  </si>
  <si>
    <t>Seven Seas Navigator</t>
  </si>
  <si>
    <t>Seven Seas Voyager</t>
  </si>
  <si>
    <t>Shadow</t>
  </si>
  <si>
    <t>Silja Europa</t>
  </si>
  <si>
    <t>Silja Symphony</t>
  </si>
  <si>
    <t>Silver Explorer</t>
  </si>
  <si>
    <t>Silver Spirit</t>
  </si>
  <si>
    <t>Sojourn</t>
  </si>
  <si>
    <t>Spirit</t>
  </si>
  <si>
    <t>Spirit of Oceanus</t>
  </si>
  <si>
    <t>Splendour of the Seas</t>
  </si>
  <si>
    <t>Superstar Leo</t>
  </si>
  <si>
    <t>Schiff &amp; Hafen</t>
  </si>
  <si>
    <t>The World</t>
  </si>
  <si>
    <t>Viking Sky</t>
  </si>
  <si>
    <t>Viking Star</t>
  </si>
  <si>
    <t>Vision of the Seas</t>
  </si>
  <si>
    <t>Voyager</t>
  </si>
  <si>
    <t>Voyager of the Seas</t>
  </si>
  <si>
    <t>diesel-electric (42000kW) / 3 pods (14 MW each)</t>
  </si>
  <si>
    <t>Whisper</t>
  </si>
  <si>
    <t>Wind</t>
  </si>
  <si>
    <t>Wolin</t>
  </si>
  <si>
    <t>Loa</t>
  </si>
  <si>
    <t>m</t>
  </si>
  <si>
    <t>Length BP</t>
  </si>
  <si>
    <t>ton</t>
  </si>
  <si>
    <t>knot</t>
  </si>
  <si>
    <t>Power</t>
  </si>
  <si>
    <t>KW</t>
  </si>
  <si>
    <t>Beds</t>
  </si>
  <si>
    <t xml:space="preserve"> Breadth vs power</t>
  </si>
  <si>
    <t xml:space="preserve"> Length vs power</t>
  </si>
  <si>
    <t>L vs number of beds</t>
  </si>
  <si>
    <t>L vs speed</t>
  </si>
  <si>
    <t>B  vs draft</t>
  </si>
  <si>
    <t>power vs beds</t>
  </si>
  <si>
    <t>L vs DWT</t>
  </si>
  <si>
    <t>Name of the vessel</t>
  </si>
  <si>
    <t>Year of manufacture</t>
  </si>
  <si>
    <t>GT</t>
  </si>
  <si>
    <t>LOA (m)</t>
  </si>
  <si>
    <t>LPP (m)</t>
  </si>
  <si>
    <t>LPP/LOA</t>
  </si>
  <si>
    <t>B (m)</t>
  </si>
  <si>
    <t>T (m)</t>
  </si>
  <si>
    <t>D (m)</t>
  </si>
  <si>
    <t>F (m)</t>
  </si>
  <si>
    <t>Machinery (kW)</t>
  </si>
  <si>
    <t>Speed (kn)</t>
  </si>
  <si>
    <t>Speed (m/s)</t>
  </si>
  <si>
    <t>Cb (Alexander-Ayre)</t>
  </si>
  <si>
    <t>Cb (Schneekluth)</t>
  </si>
  <si>
    <t>Beds+crew</t>
  </si>
  <si>
    <t>Propellers</t>
  </si>
  <si>
    <t>Flag</t>
  </si>
  <si>
    <t>Beds/Loa</t>
  </si>
  <si>
    <t>GT/beds</t>
  </si>
  <si>
    <t>Loa*B</t>
  </si>
  <si>
    <t>Other notes</t>
  </si>
  <si>
    <t>Loa*B*T</t>
  </si>
  <si>
    <t>Source</t>
  </si>
  <si>
    <t>Ocean endeavour/ ex.Kristina katarina</t>
  </si>
  <si>
    <t>Marshall Islands</t>
  </si>
  <si>
    <t>Vapalahti, Hannu: Finnish illustrated list of ships 2010</t>
  </si>
  <si>
    <t>Nordnorge</t>
  </si>
  <si>
    <t>57?</t>
  </si>
  <si>
    <t>Norway</t>
  </si>
  <si>
    <t>DNV Exchange Vesel info, wikipedia, hurtigruten</t>
  </si>
  <si>
    <t>Amadea</t>
  </si>
  <si>
    <t>2 propellers</t>
  </si>
  <si>
    <t>The Bahamas</t>
  </si>
  <si>
    <t>Ward, Douglas (2009). Complete Guide to Cruising &amp; Cruise Ships</t>
  </si>
  <si>
    <t>Birka Stockholm (ex. Birka paradise)</t>
  </si>
  <si>
    <t>Sweden</t>
  </si>
  <si>
    <t>Wikipedia, DNV Exchange Vessel info</t>
  </si>
  <si>
    <t>Atlantic Mercy (hospital ship)</t>
  </si>
  <si>
    <t>Diesel-electric</t>
  </si>
  <si>
    <t>Malta</t>
  </si>
  <si>
    <t>http://maritimematters.com/2014/03/new-vessel-for-mercy-ships/, http://www.ship-technology.com/projects/atlantic-mercy-hospital-ship/</t>
  </si>
  <si>
    <t>Africa mercy (hospital ship)</t>
  </si>
  <si>
    <t>1980/1999</t>
  </si>
  <si>
    <t>2xcpp</t>
  </si>
  <si>
    <t>https://www.mercyships.org/ships/africa-mercy/, wikipedia</t>
  </si>
  <si>
    <t>Esperanza del Mar (hospital ship)</t>
  </si>
  <si>
    <t>Spain</t>
  </si>
  <si>
    <t>wikipedia</t>
  </si>
  <si>
    <t>Viking Cinderella</t>
  </si>
  <si>
    <t>Aegean paradise</t>
  </si>
  <si>
    <t>cpp</t>
  </si>
  <si>
    <t>Veristar register, wikipedia</t>
  </si>
  <si>
    <t>Island sky</t>
  </si>
  <si>
    <t>L'AUSTRAL</t>
  </si>
  <si>
    <t/>
  </si>
  <si>
    <t>France</t>
  </si>
  <si>
    <t>veristar register</t>
  </si>
  <si>
    <t>PACIFIC PRINCESS</t>
  </si>
  <si>
    <t>Bermuda</t>
  </si>
  <si>
    <t>MSC ORCHESTRA</t>
  </si>
  <si>
    <t>Panama</t>
  </si>
  <si>
    <t>veristar register ,wikipedia</t>
  </si>
  <si>
    <t>MSC OPERA</t>
  </si>
  <si>
    <t>LE BOREAL</t>
  </si>
  <si>
    <t>M/s albatros (original)</t>
  </si>
  <si>
    <t>M/s albatros (current)</t>
  </si>
  <si>
    <t>Wikipedia, DNV Exchange Vessel info, http://www.scheepvaartwest.be/CMS/index.php/passengers-cruise/2613-albatros-imo-7304314</t>
  </si>
  <si>
    <t>MS Regatta</t>
  </si>
  <si>
    <t>Seabourn legend</t>
  </si>
  <si>
    <t>DNV Exchange Vesel info, wikipedia</t>
  </si>
  <si>
    <t>wikipedia, Jani Romanoff</t>
  </si>
  <si>
    <t>Oasis of the seas</t>
  </si>
  <si>
    <t>Louis Cristal (curren situation)</t>
  </si>
  <si>
    <t>1980/1992</t>
  </si>
  <si>
    <t>MS Europa</t>
  </si>
  <si>
    <t>azipod</t>
  </si>
  <si>
    <t>AIDAcara</t>
  </si>
  <si>
    <t>Italy</t>
  </si>
  <si>
    <t>Kong Harald</t>
  </si>
  <si>
    <t>2 CP prop.</t>
  </si>
  <si>
    <t>Norja</t>
  </si>
  <si>
    <t>autopaikkoja 50kpl</t>
  </si>
  <si>
    <t>wikipedia ja DNV</t>
  </si>
  <si>
    <t>Enchanted Capri</t>
  </si>
  <si>
    <t>Mexiko</t>
  </si>
  <si>
    <t>vanha</t>
  </si>
  <si>
    <t>Seven seas navigator</t>
  </si>
  <si>
    <t>Bahama</t>
  </si>
  <si>
    <t>Fram</t>
  </si>
  <si>
    <t>2 pod</t>
  </si>
  <si>
    <t>Finnmarken</t>
  </si>
  <si>
    <t>47 autopaikkaa</t>
  </si>
  <si>
    <t>wikipedia, DNV ja Hurtigruten kotisivut</t>
  </si>
  <si>
    <t>Average LPP/LOA:</t>
  </si>
  <si>
    <t>Graphs (Orange point represens your ship)</t>
  </si>
  <si>
    <t>L vs Depth</t>
  </si>
  <si>
    <t>B  vs T</t>
  </si>
  <si>
    <t>power vs Lbp</t>
  </si>
  <si>
    <t>Year</t>
  </si>
  <si>
    <t>Deadweight DWT (design)</t>
  </si>
  <si>
    <t>Lightship weight LWT</t>
  </si>
  <si>
    <t>Displacement</t>
  </si>
  <si>
    <t>Length L (OA)</t>
  </si>
  <si>
    <t>Length L (BP)</t>
  </si>
  <si>
    <t>Breadth moulded B</t>
  </si>
  <si>
    <t>Draught design T</t>
  </si>
  <si>
    <t>Depth to main deck D</t>
  </si>
  <si>
    <t>Freeboard</t>
  </si>
  <si>
    <t>Nº of vehicles decks</t>
  </si>
  <si>
    <t>Lane length</t>
  </si>
  <si>
    <t>Total cars</t>
  </si>
  <si>
    <t>Complement</t>
  </si>
  <si>
    <t>Fuel Oil (FO) m^3</t>
  </si>
  <si>
    <t>Diesel Oil (DO) m^3</t>
  </si>
  <si>
    <t>Ballast m^3</t>
  </si>
  <si>
    <t>Power (kW)</t>
  </si>
  <si>
    <t>RPM</t>
  </si>
  <si>
    <t>Consumption (ton/day)</t>
  </si>
  <si>
    <t>Hammerodde</t>
  </si>
  <si>
    <t>644+604</t>
  </si>
  <si>
    <t>Pu tuo dao</t>
  </si>
  <si>
    <t>2fixed/1hoistable</t>
  </si>
  <si>
    <t>835trailers/1178</t>
  </si>
  <si>
    <t>8+64</t>
  </si>
  <si>
    <t>Smyril</t>
  </si>
  <si>
    <t>1fixed/1hoistable</t>
  </si>
  <si>
    <t>8+16</t>
  </si>
  <si>
    <t>Côte d'albâtre</t>
  </si>
  <si>
    <t>62/1150</t>
  </si>
  <si>
    <t>8+36</t>
  </si>
  <si>
    <t>Blue star ithaki</t>
  </si>
  <si>
    <t>21/364</t>
  </si>
  <si>
    <t>10+28</t>
  </si>
  <si>
    <t>Coastal renaissance</t>
  </si>
  <si>
    <t>/2020</t>
  </si>
  <si>
    <t>7+35</t>
  </si>
  <si>
    <t>Hebriges</t>
  </si>
  <si>
    <t>1plus/2hoistable</t>
  </si>
  <si>
    <t>10/</t>
  </si>
  <si>
    <t>13+24</t>
  </si>
  <si>
    <t>Ulyses</t>
  </si>
  <si>
    <t>4fixed/1hoistable</t>
  </si>
  <si>
    <t>240/4101</t>
  </si>
  <si>
    <t>20+101</t>
  </si>
  <si>
    <t>Danielle Casanova</t>
  </si>
  <si>
    <t>/1000</t>
  </si>
  <si>
    <t>18+156</t>
  </si>
  <si>
    <t>Lobo marinho</t>
  </si>
  <si>
    <t>4/</t>
  </si>
  <si>
    <t>Norröna</t>
  </si>
  <si>
    <t>/3245</t>
  </si>
  <si>
    <t>12+60</t>
  </si>
  <si>
    <t>Golfo dei coralli</t>
  </si>
  <si>
    <t>166/2510</t>
  </si>
  <si>
    <t>13+20</t>
  </si>
  <si>
    <t>Mega express</t>
  </si>
  <si>
    <t>2plus/2hoistable</t>
  </si>
  <si>
    <t>/2500</t>
  </si>
  <si>
    <t>Blue star 1</t>
  </si>
  <si>
    <t>130/2230</t>
  </si>
  <si>
    <t>36+76</t>
  </si>
  <si>
    <t>Olympia Palace</t>
  </si>
  <si>
    <t>145/2000</t>
  </si>
  <si>
    <t>24+96</t>
  </si>
  <si>
    <t>Pride of rotterdam</t>
  </si>
  <si>
    <t>/3355</t>
  </si>
  <si>
    <t>19+122</t>
  </si>
  <si>
    <t>Prometheus</t>
  </si>
  <si>
    <t>150/2000</t>
  </si>
  <si>
    <t>Nils holgersson</t>
  </si>
  <si>
    <t>171/2613</t>
  </si>
  <si>
    <t>10+46</t>
  </si>
  <si>
    <t>500/500/600</t>
  </si>
  <si>
    <t>Otello</t>
  </si>
  <si>
    <t>Shanghai highway</t>
  </si>
  <si>
    <t>Elbe highway</t>
  </si>
  <si>
    <t>Norbank</t>
  </si>
  <si>
    <t>Norsky</t>
  </si>
  <si>
    <t>Finnmaster</t>
  </si>
  <si>
    <t>Und Akdeniz</t>
  </si>
  <si>
    <t>Finnclipper</t>
  </si>
  <si>
    <t>Tasmanian Ach.</t>
  </si>
  <si>
    <t>Island Commodore</t>
  </si>
  <si>
    <t>Dawn merchant</t>
  </si>
  <si>
    <t>Commodore Clipper</t>
  </si>
  <si>
    <t>800/976</t>
  </si>
  <si>
    <t>Seafrance Moliere</t>
  </si>
  <si>
    <t>Vesterålen</t>
  </si>
  <si>
    <t>Utopia</t>
  </si>
  <si>
    <t>Envoy</t>
  </si>
  <si>
    <t>Finnpartner</t>
  </si>
  <si>
    <t>Stena Traveller</t>
  </si>
  <si>
    <t>Galileusz</t>
  </si>
  <si>
    <t>Translubeca</t>
  </si>
  <si>
    <t>Hamnavoe</t>
  </si>
  <si>
    <t>European Causeway</t>
  </si>
  <si>
    <t>Tassili II</t>
    <phoneticPr fontId="0" type="noConversion"/>
  </si>
  <si>
    <t>Peter Pan</t>
  </si>
  <si>
    <t>Seafrance Rodin</t>
  </si>
  <si>
    <t>Finneagle</t>
  </si>
  <si>
    <t>Isle of Innisfree</t>
  </si>
  <si>
    <t>Transeuropa</t>
  </si>
  <si>
    <t>Star</t>
  </si>
  <si>
    <t>Huckleberry Finn</t>
  </si>
  <si>
    <t>Spirit of Britain</t>
  </si>
  <si>
    <t>Mecklenburg-Vorpommern</t>
  </si>
  <si>
    <t>Benchijigua Express</t>
  </si>
  <si>
    <t>Alakai</t>
  </si>
  <si>
    <t>Neptune</t>
  </si>
  <si>
    <t>Color Superspeed 1 &amp; 2</t>
  </si>
  <si>
    <t>Mein schiff 4</t>
  </si>
  <si>
    <t>Oslofjord</t>
  </si>
  <si>
    <t>Bo Hai Jing Zhu</t>
  </si>
  <si>
    <t>Mein schiff 3</t>
  </si>
  <si>
    <t xml:space="preserve">Berlioz </t>
  </si>
  <si>
    <t>Finnlady</t>
  </si>
  <si>
    <t>218.8</t>
  </si>
  <si>
    <t>30.52</t>
  </si>
  <si>
    <t>Rodin</t>
  </si>
  <si>
    <t>BOSFOR VOSTOCHNYY</t>
  </si>
  <si>
    <t>ANNA AKHMATOVA</t>
  </si>
  <si>
    <t>HARILAID</t>
  </si>
  <si>
    <t>BRIGADIR RISHKO</t>
  </si>
  <si>
    <t>AKADEMIK IOFFE</t>
  </si>
  <si>
    <t>STAVANGERFJORD</t>
  </si>
  <si>
    <t>Bergensfjord</t>
  </si>
  <si>
    <t>Viking Grace</t>
  </si>
  <si>
    <t>Zero emission double-ended ferry</t>
  </si>
  <si>
    <t>2017?</t>
  </si>
  <si>
    <t>Propellers (kpl)</t>
    <phoneticPr fontId="0" type="noConversion"/>
  </si>
  <si>
    <t>Seatrain Euroliner</t>
  </si>
  <si>
    <t>Canmar Fortune</t>
  </si>
  <si>
    <t>NedLloyd Tasman</t>
  </si>
  <si>
    <t>Emma Maersk</t>
  </si>
  <si>
    <t>Pauline</t>
  </si>
  <si>
    <t>Irena Arctica</t>
  </si>
  <si>
    <t>L (m)</t>
  </si>
  <si>
    <t>Lbp  (m)</t>
  </si>
  <si>
    <t xml:space="preserve">Lbp  (app) </t>
  </si>
  <si>
    <t>Breadth  (m)</t>
  </si>
  <si>
    <t>draft (m)</t>
  </si>
  <si>
    <t>Max speed (kn)</t>
  </si>
  <si>
    <t>Engine power (kW)</t>
  </si>
  <si>
    <t>Engine power(tot) (kW)</t>
  </si>
  <si>
    <t>Fn (max)</t>
  </si>
  <si>
    <t>Froude (cruise)</t>
  </si>
  <si>
    <t>Vieraita</t>
  </si>
  <si>
    <t>Total passengers</t>
  </si>
  <si>
    <t>Huomiot</t>
  </si>
  <si>
    <t>M/Y Eclipse</t>
  </si>
  <si>
    <t>The Dubai</t>
  </si>
  <si>
    <t>4x 7177</t>
  </si>
  <si>
    <t>Al Said</t>
  </si>
  <si>
    <t>Prince Abdulaziz</t>
  </si>
  <si>
    <t>2x 5816</t>
  </si>
  <si>
    <t>El Horria</t>
  </si>
  <si>
    <t>2x 4847</t>
  </si>
  <si>
    <t>Swift 141</t>
  </si>
  <si>
    <t>2x 7830</t>
  </si>
  <si>
    <t>sotalaiva</t>
  </si>
  <si>
    <t>Al Salamah</t>
  </si>
  <si>
    <t>2x 6500</t>
  </si>
  <si>
    <t>Rising Sun</t>
  </si>
  <si>
    <t>4x 9000</t>
  </si>
  <si>
    <t>Fulk al Salamah</t>
  </si>
  <si>
    <t>4x 3132</t>
  </si>
  <si>
    <t>Savarona</t>
  </si>
  <si>
    <t>2x 2685</t>
  </si>
  <si>
    <t>Serene</t>
  </si>
  <si>
    <t>Al Mirqab</t>
  </si>
  <si>
    <t>Octopus</t>
  </si>
  <si>
    <t>8x 1790</t>
  </si>
  <si>
    <t>Katara</t>
  </si>
  <si>
    <t>Alexander</t>
  </si>
  <si>
    <t>2x 3020</t>
  </si>
  <si>
    <t>A"" (Project Sigma)</t>
  </si>
  <si>
    <t>2x 4500</t>
  </si>
  <si>
    <t>Turama</t>
  </si>
  <si>
    <t>2x 3000</t>
  </si>
  <si>
    <t>Atlantis II</t>
  </si>
  <si>
    <t>2x 3580</t>
  </si>
  <si>
    <t>Issham Al Baer</t>
  </si>
  <si>
    <t>Pelorus</t>
  </si>
  <si>
    <t>2x 3952</t>
  </si>
  <si>
    <t>Luna</t>
  </si>
  <si>
    <t>Le Grand Bleu</t>
  </si>
  <si>
    <t>2x 3408</t>
  </si>
  <si>
    <t>Radiant</t>
  </si>
  <si>
    <t>Dilbar</t>
  </si>
  <si>
    <t>Sea Cloud</t>
  </si>
  <si>
    <t>p</t>
  </si>
  <si>
    <t>Sea Dream</t>
  </si>
  <si>
    <t>Lady Moura</t>
  </si>
  <si>
    <t>2x 5120</t>
  </si>
  <si>
    <t>Loaloat Al Behar</t>
  </si>
  <si>
    <t>2x 3132</t>
  </si>
  <si>
    <t>Attessa IV</t>
  </si>
  <si>
    <t>2x 4922</t>
  </si>
  <si>
    <t>Christina O</t>
  </si>
  <si>
    <t>2x 2070</t>
  </si>
  <si>
    <t>Carinthia VII</t>
  </si>
  <si>
    <t>4x 7400</t>
  </si>
  <si>
    <t>O'Mare</t>
  </si>
  <si>
    <t>Cosmos</t>
  </si>
  <si>
    <t>Limitless</t>
  </si>
  <si>
    <t>2x 5420</t>
  </si>
  <si>
    <t>Palladium</t>
  </si>
  <si>
    <t>Project 55</t>
  </si>
  <si>
    <t>Indian Empress</t>
  </si>
  <si>
    <t>3x 7457</t>
  </si>
  <si>
    <t>EOS</t>
  </si>
  <si>
    <t>2x 1740</t>
  </si>
  <si>
    <t>Tatoosh</t>
  </si>
  <si>
    <t>2x 3244</t>
  </si>
  <si>
    <t>2x 4920</t>
  </si>
  <si>
    <t>Mayan Queen IV</t>
  </si>
  <si>
    <t>Nahlin</t>
  </si>
  <si>
    <t>Dubawi</t>
  </si>
  <si>
    <t>Ice</t>
  </si>
  <si>
    <t>2x 2500</t>
  </si>
  <si>
    <t>Nero</t>
  </si>
  <si>
    <t>Athena</t>
  </si>
  <si>
    <t>2x 1492</t>
  </si>
  <si>
    <t>Lauren L</t>
  </si>
  <si>
    <t>1x 1864</t>
  </si>
  <si>
    <t>MW</t>
  </si>
  <si>
    <t>Disp  vs DWT</t>
  </si>
  <si>
    <t>Disp vs power</t>
  </si>
  <si>
    <t>Length vs Power</t>
  </si>
  <si>
    <t>Length  vs D</t>
  </si>
  <si>
    <t>B  vs D</t>
  </si>
  <si>
    <t>Icebreakers</t>
  </si>
  <si>
    <t>Operator</t>
  </si>
  <si>
    <t>Year built</t>
  </si>
  <si>
    <t>Loa (m)</t>
  </si>
  <si>
    <t>Lwl(m)</t>
  </si>
  <si>
    <t>Lpp (m)</t>
  </si>
  <si>
    <t>Disp vol (m^3)</t>
  </si>
  <si>
    <t>Disp (ton)</t>
  </si>
  <si>
    <t>DW (ton)</t>
  </si>
  <si>
    <t>Tb (ton)</t>
  </si>
  <si>
    <t>Ps (MW)</t>
  </si>
  <si>
    <t>V (kt)</t>
  </si>
  <si>
    <t>L/v^(1/3)</t>
  </si>
  <si>
    <t>Otso</t>
  </si>
  <si>
    <t>Arctia</t>
  </si>
  <si>
    <t>FIN</t>
  </si>
  <si>
    <t>Kontio</t>
  </si>
  <si>
    <t>Fennica</t>
  </si>
  <si>
    <t>Nordica</t>
  </si>
  <si>
    <t xml:space="preserve">Polaris </t>
  </si>
  <si>
    <t>Hermes (ex-Drive Mahone, ex-…)</t>
  </si>
  <si>
    <t>Alfons Håkans</t>
  </si>
  <si>
    <t xml:space="preserve">Zeus </t>
  </si>
  <si>
    <t xml:space="preserve">Louhi </t>
  </si>
  <si>
    <t>Finnish Navy</t>
  </si>
  <si>
    <t>SCF Sakhalin (role model)</t>
  </si>
  <si>
    <t>hi/v</t>
  </si>
  <si>
    <t>Moskva
Sankt-Peterburg</t>
  </si>
  <si>
    <t xml:space="preserve">Rosmorport </t>
  </si>
  <si>
    <t>2008
2009</t>
  </si>
  <si>
    <t>1,8/2</t>
  </si>
  <si>
    <t>Vladivostok
Murmansk
Novorossiysk</t>
  </si>
  <si>
    <t>2015
2015
2016*</t>
  </si>
  <si>
    <t xml:space="preserve">50 Let Pobedy </t>
  </si>
  <si>
    <t xml:space="preserve">Atomflot </t>
  </si>
  <si>
    <t xml:space="preserve">Viktor Chernomyrdin </t>
  </si>
  <si>
    <t xml:space="preserve">2018* </t>
  </si>
  <si>
    <t>0,9/3</t>
  </si>
  <si>
    <t>1,5/3</t>
  </si>
  <si>
    <t xml:space="preserve">Gennadiy Nevelskoy </t>
  </si>
  <si>
    <t xml:space="preserve">Sovcomflot </t>
  </si>
  <si>
    <t xml:space="preserve">2016* </t>
  </si>
  <si>
    <t>1/2</t>
  </si>
  <si>
    <t xml:space="preserve">Baltika </t>
  </si>
  <si>
    <t xml:space="preserve">Rosmorrechflot </t>
  </si>
  <si>
    <t>Mackinaw</t>
  </si>
  <si>
    <t>USCG</t>
  </si>
  <si>
    <t>USA</t>
  </si>
  <si>
    <t>Moskva</t>
  </si>
  <si>
    <t>RosMorPort</t>
  </si>
  <si>
    <t>RUS</t>
  </si>
  <si>
    <t>N/A</t>
  </si>
  <si>
    <t>Polar Pevek</t>
  </si>
  <si>
    <t>Rieber Shipping</t>
  </si>
  <si>
    <t>Vladislav Strizhov</t>
  </si>
  <si>
    <t>Gazprom</t>
  </si>
  <si>
    <t>Yuri Topchev,</t>
  </si>
  <si>
    <t>Fesco Sakhalin</t>
  </si>
  <si>
    <t>Fesco</t>
  </si>
  <si>
    <t>1,4/3</t>
  </si>
  <si>
    <t>Maria S. Merian</t>
  </si>
  <si>
    <t>Land Mecklenburg- Vorpommen</t>
  </si>
  <si>
    <t>GER</t>
  </si>
  <si>
    <t>Svalbard</t>
  </si>
  <si>
    <t>Royal Norwegian Navy</t>
  </si>
  <si>
    <t>NOR</t>
  </si>
  <si>
    <t>Vidar Viking</t>
  </si>
  <si>
    <t>Transatlantic AS/ Sjöfartsverket</t>
  </si>
  <si>
    <t>SWE</t>
  </si>
  <si>
    <t>Balder Viking</t>
  </si>
  <si>
    <t>Tor Viking II</t>
  </si>
  <si>
    <t>Healy</t>
  </si>
  <si>
    <t>Botnica</t>
  </si>
  <si>
    <t>Arctia Offshore Oy</t>
  </si>
  <si>
    <t>Neuwerk</t>
  </si>
  <si>
    <t>Wasser- und Schiffahrts- amt Cuxhaven</t>
  </si>
  <si>
    <t>Kapitan Sorokin</t>
  </si>
  <si>
    <t>1,3/2</t>
  </si>
  <si>
    <t>Nathaniel B. Palmer</t>
  </si>
  <si>
    <t>NSF</t>
  </si>
  <si>
    <t>James Clark Ross</t>
  </si>
  <si>
    <t>British Antarctic Survey</t>
  </si>
  <si>
    <t>GB</t>
  </si>
  <si>
    <t>Vaygach</t>
  </si>
  <si>
    <t>Russian Federation</t>
  </si>
  <si>
    <t>1,7/2</t>
  </si>
  <si>
    <t>Aurora Australisis</t>
  </si>
  <si>
    <t>P&amp;O Polar</t>
  </si>
  <si>
    <t>Australia</t>
  </si>
  <si>
    <t>1,25/2,5</t>
  </si>
  <si>
    <t>Oden</t>
  </si>
  <si>
    <t>Sjöfartsverket</t>
  </si>
  <si>
    <t>Akademik Feodorov</t>
  </si>
  <si>
    <t>AARI</t>
  </si>
  <si>
    <t>1,5/2</t>
  </si>
  <si>
    <t>Henry Larsen</t>
  </si>
  <si>
    <t>CCG</t>
  </si>
  <si>
    <t>CAN</t>
  </si>
  <si>
    <t>1,2/2</t>
  </si>
  <si>
    <t>Arctia Icebreaking Oy</t>
  </si>
  <si>
    <t>0,5/5</t>
  </si>
  <si>
    <t>1,5/5</t>
  </si>
  <si>
    <t>Arctic Ivik</t>
  </si>
  <si>
    <t>Arctic Shiko</t>
  </si>
  <si>
    <t>Seaforth Atlantic</t>
  </si>
  <si>
    <t>0,9/2</t>
  </si>
  <si>
    <t>Dikson</t>
  </si>
  <si>
    <t>Terry Fox</t>
  </si>
  <si>
    <t>1,2/7</t>
  </si>
  <si>
    <t>Vladimir Ignatjuk</t>
  </si>
  <si>
    <t>Murmansk Shipping Co.</t>
  </si>
  <si>
    <t>1,8/3</t>
  </si>
  <si>
    <t>BO Hai</t>
  </si>
  <si>
    <t>Bohai Bay Oil Company</t>
  </si>
  <si>
    <t>CHI</t>
  </si>
  <si>
    <t>Des Groseilles</t>
  </si>
  <si>
    <t>Magadan</t>
  </si>
  <si>
    <t>0,8/3</t>
  </si>
  <si>
    <t>Miscaroo, Ikaluk</t>
  </si>
  <si>
    <t>1,5/4</t>
  </si>
  <si>
    <t>Mudyug</t>
  </si>
  <si>
    <t>Polarstern</t>
  </si>
  <si>
    <t>Alfred Weger Institute</t>
  </si>
  <si>
    <t>1/3</t>
  </si>
  <si>
    <t>Robert Lemeur Bin Hai 293</t>
  </si>
  <si>
    <t>China oilfield services</t>
  </si>
  <si>
    <t>Shirase</t>
  </si>
  <si>
    <t>MoD</t>
  </si>
  <si>
    <t>JPN</t>
  </si>
  <si>
    <t>0,7/2</t>
  </si>
  <si>
    <t>Kapitan Khelbnikov</t>
  </si>
  <si>
    <t>EVA-316</t>
  </si>
  <si>
    <t>Veteede Amet</t>
  </si>
  <si>
    <t>EST</t>
  </si>
  <si>
    <t>0,8/8,5</t>
  </si>
  <si>
    <t>Kapitan Dranitsyn</t>
  </si>
  <si>
    <t>Thorbjörn</t>
  </si>
  <si>
    <t>Danish Navy</t>
  </si>
  <si>
    <t>DEN</t>
  </si>
  <si>
    <t>Amudsen</t>
  </si>
  <si>
    <t>1,2/3</t>
  </si>
  <si>
    <t>Kigoriak</t>
  </si>
  <si>
    <t>FEMCO</t>
  </si>
  <si>
    <t>Almirante Irizar</t>
  </si>
  <si>
    <t>Argentinean Navy</t>
  </si>
  <si>
    <t>Arg</t>
  </si>
  <si>
    <t>Kapitan Nikolaev</t>
  </si>
  <si>
    <t>Pierre Radisson</t>
  </si>
  <si>
    <t>1,1/2</t>
  </si>
  <si>
    <t>Soya</t>
  </si>
  <si>
    <t>JCG</t>
  </si>
  <si>
    <t>0,8/2</t>
  </si>
  <si>
    <t>Talagi</t>
  </si>
  <si>
    <t>Rosneft</t>
  </si>
  <si>
    <t>S.A. Agulhas</t>
  </si>
  <si>
    <t>Smit Amandla Marine Ltd.</t>
  </si>
  <si>
    <t>RSA</t>
  </si>
  <si>
    <t>Krasin</t>
  </si>
  <si>
    <t>Polar Sea</t>
  </si>
  <si>
    <t>Sisu</t>
  </si>
  <si>
    <t>Admiral Makarov</t>
  </si>
  <si>
    <t>Urho, Sisu</t>
  </si>
  <si>
    <t>0,6/8</t>
  </si>
  <si>
    <t>Jermak</t>
  </si>
  <si>
    <t>RosMorPort/Fesco</t>
  </si>
  <si>
    <t>Polar Star</t>
  </si>
  <si>
    <t>Semen Dezhnev</t>
  </si>
  <si>
    <t>Dudinka</t>
  </si>
  <si>
    <t>Fyodor Litke</t>
  </si>
  <si>
    <t>Amirante Viel</t>
  </si>
  <si>
    <t>Chilean Navy</t>
  </si>
  <si>
    <t>Louis S. St. Laurent</t>
  </si>
  <si>
    <t>1,05/2</t>
  </si>
  <si>
    <t>Isbjörn</t>
  </si>
  <si>
    <t>0,85/2</t>
  </si>
  <si>
    <t>Danbjörn, Isbjörn</t>
  </si>
  <si>
    <t>0,65/3</t>
  </si>
  <si>
    <t>Yuriy Lisyanskiy</t>
  </si>
  <si>
    <t>1,7/4</t>
  </si>
  <si>
    <t>Ivan Kruzenshtern</t>
  </si>
  <si>
    <t>Tor</t>
  </si>
  <si>
    <t>Tarmo</t>
  </si>
  <si>
    <t>0,8/10</t>
  </si>
  <si>
    <t>Karu</t>
  </si>
  <si>
    <t>1,4/4</t>
  </si>
  <si>
    <t>Voima</t>
  </si>
  <si>
    <t>0,8/9,5</t>
  </si>
  <si>
    <t>Röthelstein</t>
  </si>
  <si>
    <t>Double_acting ship</t>
  </si>
  <si>
    <t>Arcticaborg/Antarcticaborg</t>
  </si>
  <si>
    <t>Viktor Chernomyrdin</t>
  </si>
  <si>
    <t>Aleksandr Sannikov</t>
  </si>
  <si>
    <t xml:space="preserve">offshore supply vessel </t>
  </si>
  <si>
    <t>Viking Energy</t>
  </si>
  <si>
    <t>PSV</t>
  </si>
  <si>
    <t>Havila Foresight</t>
  </si>
  <si>
    <t>MPSV</t>
  </si>
  <si>
    <t>Aries Swan</t>
  </si>
  <si>
    <t>Island Valiant</t>
  </si>
  <si>
    <t>AHTS</t>
  </si>
  <si>
    <t>far Superior</t>
  </si>
  <si>
    <t>Bourbon Peridot</t>
  </si>
  <si>
    <t>Bourbon Pearl</t>
  </si>
  <si>
    <t>Maersk Logger</t>
  </si>
  <si>
    <t>Maersk attender</t>
  </si>
  <si>
    <t>Viking Dynamic</t>
  </si>
  <si>
    <t>Bourbon Mistral</t>
  </si>
  <si>
    <t>Normand Flipper</t>
  </si>
  <si>
    <t>Bourbon Surf</t>
  </si>
  <si>
    <t>Bourbon Borg Stein</t>
  </si>
  <si>
    <t>Island Vanguard</t>
  </si>
  <si>
    <t>Normand Aurora</t>
  </si>
  <si>
    <t>Bourbon Topaz</t>
  </si>
  <si>
    <t>Bourbon Orca</t>
  </si>
  <si>
    <t>Island Patriot</t>
  </si>
  <si>
    <t>Havila Mars</t>
  </si>
  <si>
    <t>Normand Carrier</t>
  </si>
  <si>
    <t>Edda Frigg</t>
  </si>
  <si>
    <t>Tor Viking</t>
  </si>
  <si>
    <t>Havila Faith</t>
  </si>
  <si>
    <t>Havila Fortress</t>
  </si>
  <si>
    <t>Havila Favor</t>
  </si>
  <si>
    <t>Northern Clipper</t>
  </si>
  <si>
    <t>82,45</t>
  </si>
  <si>
    <t>Normand Master</t>
  </si>
  <si>
    <t>Normand Mariner</t>
  </si>
  <si>
    <t>Olympic Pegasus</t>
  </si>
  <si>
    <t>Ocean Mainport</t>
  </si>
  <si>
    <t>18,04</t>
  </si>
  <si>
    <t>Normand Atlantic</t>
  </si>
  <si>
    <t>Bourbon Crown</t>
  </si>
  <si>
    <t>Ocean King</t>
  </si>
  <si>
    <t>Havila Fortune</t>
  </si>
  <si>
    <t>Havila Neptun</t>
  </si>
  <si>
    <t>Viking Troll</t>
  </si>
  <si>
    <t>Odin Viking</t>
  </si>
  <si>
    <t>Northern Crusader</t>
  </si>
  <si>
    <t>Aries Warrior</t>
  </si>
  <si>
    <t>Havila Princess</t>
  </si>
  <si>
    <t>Viking Athene</t>
  </si>
  <si>
    <t>Viking thaumas</t>
  </si>
  <si>
    <t>Adams Aquanaut</t>
  </si>
  <si>
    <t>Maersk tackler</t>
  </si>
  <si>
    <t>KL Arendalfjord</t>
  </si>
  <si>
    <t>Viking Surf</t>
  </si>
  <si>
    <t>Adams Surveyor</t>
  </si>
  <si>
    <t>Ocean Viking</t>
  </si>
  <si>
    <t>Ocean Spirit</t>
  </si>
  <si>
    <t>Boa Fortune</t>
  </si>
  <si>
    <t>Lord Aries</t>
  </si>
  <si>
    <t>Adams Nomad</t>
  </si>
  <si>
    <t>Adams Arrow</t>
  </si>
  <si>
    <t>S.A. Agulhas II</t>
  </si>
  <si>
    <t>Svetlyy</t>
  </si>
  <si>
    <t>Lukoil</t>
  </si>
  <si>
    <t>Vzmorye</t>
  </si>
  <si>
    <t>Kogalym</t>
  </si>
  <si>
    <t>Langepas</t>
  </si>
  <si>
    <t>Sankt Petersburg</t>
  </si>
  <si>
    <t>Toboy</t>
  </si>
  <si>
    <t>Varandey</t>
  </si>
  <si>
    <t>50 Let Pobedy</t>
  </si>
  <si>
    <t>Svetlyy, Vzmorye</t>
  </si>
  <si>
    <t>Offshore vessels</t>
  </si>
  <si>
    <t>1.8/2</t>
  </si>
  <si>
    <t>0.9/3</t>
  </si>
  <si>
    <t>1.5/3</t>
  </si>
  <si>
    <t>1.4/3</t>
  </si>
  <si>
    <t>1.3/2</t>
  </si>
  <si>
    <t>1.7/2</t>
  </si>
  <si>
    <t>1.25/2.5</t>
  </si>
  <si>
    <t>1.5/2</t>
  </si>
  <si>
    <t>1.2/2</t>
  </si>
  <si>
    <t>0.5/5</t>
  </si>
  <si>
    <t>1.5/5</t>
  </si>
  <si>
    <t>0.9/2</t>
  </si>
  <si>
    <t>1.2/7</t>
  </si>
  <si>
    <t>1.8/3</t>
  </si>
  <si>
    <t>0.8/3</t>
  </si>
  <si>
    <t>1.5/4</t>
  </si>
  <si>
    <t>CMA CGM MONTMARTRE</t>
  </si>
  <si>
    <t>VUOKSI MAERSK</t>
  </si>
  <si>
    <t>MCC TAIPEI </t>
  </si>
  <si>
    <t>MSC CARLA 3</t>
  </si>
  <si>
    <t>MCC NINGBO</t>
  </si>
  <si>
    <t>CMA CGM NEVA</t>
  </si>
  <si>
    <t>DONGJIN AUBE</t>
  </si>
  <si>
    <t>JAOHAR RIMA</t>
  </si>
  <si>
    <t>ROTSUND</t>
  </si>
  <si>
    <t>KM.PEKAN RIAU</t>
  </si>
  <si>
    <t>APL SALALAH</t>
  </si>
  <si>
    <t>CMA CGM MISSISSIPPI</t>
  </si>
  <si>
    <t>AMOLIANI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</si>
</sst>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€_-;\-* #,##0\ _€_-;_-* &quot;-&quot;\ _€_-;_-@_-"/>
    <numFmt numFmtId="165" formatCode="0.000"/>
    <numFmt numFmtId="166" formatCode="0.0"/>
  </numFmts>
  <fonts count="2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E243E"/>
      <name val="Times New Roman"/>
      <family val="1"/>
    </font>
    <font>
      <sz val="10"/>
      <color rgb="FF0E243E"/>
      <name val="Calibri"/>
      <family val="2"/>
      <scheme val="minor"/>
    </font>
    <font>
      <sz val="11"/>
      <color theme="1"/>
      <name val="Baskerville Old Face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1"/>
      <name val="Calibri"/>
      <family val="2"/>
    </font>
    <font>
      <u/>
      <sz val="10"/>
      <name val="Times New Roman"/>
      <family val="1"/>
    </font>
    <font>
      <sz val="10"/>
      <name val="Segoe UI"/>
      <family val="2"/>
    </font>
    <font>
      <u/>
      <sz val="10"/>
      <name val="Arial"/>
      <family val="2"/>
    </font>
    <font>
      <b/>
      <u/>
      <sz val="20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ck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9" fillId="0" borderId="0"/>
    <xf numFmtId="0" fontId="19" fillId="0" borderId="0">
      <alignment vertical="center"/>
    </xf>
  </cellStyleXfs>
  <cellXfs count="286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49" fontId="0" fillId="0" borderId="0" xfId="0" applyNumberFormat="1"/>
    <xf numFmtId="0" fontId="4" fillId="2" borderId="0" xfId="0" applyFont="1" applyFill="1"/>
    <xf numFmtId="49" fontId="4" fillId="2" borderId="0" xfId="0" applyNumberFormat="1" applyFont="1" applyFill="1"/>
    <xf numFmtId="49" fontId="4" fillId="3" borderId="0" xfId="0" applyNumberFormat="1" applyFont="1" applyFill="1"/>
    <xf numFmtId="3" fontId="0" fillId="0" borderId="0" xfId="0" applyNumberFormat="1"/>
    <xf numFmtId="0" fontId="3" fillId="5" borderId="6" xfId="1" applyFill="1" applyBorder="1" applyAlignment="1">
      <alignment vertical="center" wrapText="1"/>
    </xf>
    <xf numFmtId="0" fontId="6" fillId="5" borderId="6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left" vertical="center" wrapText="1" indent="2"/>
    </xf>
    <xf numFmtId="0" fontId="3" fillId="0" borderId="0" xfId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5" borderId="6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 indent="2"/>
    </xf>
    <xf numFmtId="0" fontId="3" fillId="5" borderId="0" xfId="1" applyFill="1" applyAlignment="1">
      <alignment vertical="center" wrapText="1"/>
    </xf>
    <xf numFmtId="0" fontId="6" fillId="5" borderId="0" xfId="0" applyFont="1" applyFill="1" applyAlignment="1">
      <alignment vertical="center" wrapText="1"/>
    </xf>
    <xf numFmtId="0" fontId="6" fillId="5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left" vertical="center" wrapText="1" indent="2"/>
    </xf>
    <xf numFmtId="0" fontId="8" fillId="5" borderId="0" xfId="0" applyFont="1" applyFill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3" fillId="0" borderId="5" xfId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6" fillId="5" borderId="6" xfId="0" applyFont="1" applyFill="1" applyBorder="1" applyAlignment="1">
      <alignment horizontal="left" vertical="center" wrapText="1" indent="1"/>
    </xf>
    <xf numFmtId="0" fontId="7" fillId="5" borderId="6" xfId="0" applyFont="1" applyFill="1" applyBorder="1" applyAlignment="1">
      <alignment horizontal="left" vertical="center" wrapText="1" indent="3"/>
    </xf>
    <xf numFmtId="0" fontId="6" fillId="0" borderId="0" xfId="0" applyFont="1" applyAlignment="1">
      <alignment horizontal="left" vertical="center" wrapText="1" indent="1"/>
    </xf>
    <xf numFmtId="0" fontId="6" fillId="5" borderId="6" xfId="0" applyFont="1" applyFill="1" applyBorder="1" applyAlignment="1">
      <alignment horizontal="left" vertical="center" wrapText="1" indent="3"/>
    </xf>
    <xf numFmtId="0" fontId="6" fillId="5" borderId="0" xfId="0" applyFont="1" applyFill="1" applyAlignment="1">
      <alignment horizontal="left" vertical="center" wrapText="1" indent="1"/>
    </xf>
    <xf numFmtId="0" fontId="7" fillId="5" borderId="0" xfId="0" applyFont="1" applyFill="1" applyAlignment="1">
      <alignment horizontal="left" vertical="center" wrapText="1" indent="2"/>
    </xf>
    <xf numFmtId="0" fontId="7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left" vertical="center" wrapText="1" indent="3"/>
    </xf>
    <xf numFmtId="0" fontId="6" fillId="5" borderId="0" xfId="0" applyFont="1" applyFill="1" applyAlignment="1">
      <alignment horizontal="left" vertical="center" wrapText="1" indent="3"/>
    </xf>
    <xf numFmtId="0" fontId="7" fillId="5" borderId="0" xfId="0" applyFont="1" applyFill="1" applyAlignment="1">
      <alignment horizontal="left" vertical="center" wrapText="1" indent="3"/>
    </xf>
    <xf numFmtId="0" fontId="6" fillId="0" borderId="5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3"/>
    </xf>
    <xf numFmtId="0" fontId="7" fillId="0" borderId="5" xfId="0" applyFont="1" applyBorder="1" applyAlignment="1">
      <alignment horizontal="left" vertical="center" wrapText="1" indent="3"/>
    </xf>
    <xf numFmtId="0" fontId="0" fillId="0" borderId="0" xfId="0" applyBorder="1"/>
    <xf numFmtId="0" fontId="0" fillId="8" borderId="8" xfId="0" applyFill="1" applyBorder="1" applyAlignment="1">
      <alignment wrapText="1"/>
    </xf>
    <xf numFmtId="0" fontId="4" fillId="8" borderId="8" xfId="0" applyFont="1" applyFill="1" applyBorder="1" applyAlignment="1">
      <alignment wrapText="1"/>
    </xf>
    <xf numFmtId="0" fontId="0" fillId="9" borderId="8" xfId="0" applyFill="1" applyBorder="1"/>
    <xf numFmtId="0" fontId="0" fillId="9" borderId="8" xfId="0" applyFill="1" applyBorder="1" applyAlignment="1">
      <alignment wrapText="1"/>
    </xf>
    <xf numFmtId="1" fontId="0" fillId="9" borderId="8" xfId="0" applyNumberFormat="1" applyFill="1" applyBorder="1"/>
    <xf numFmtId="2" fontId="0" fillId="9" borderId="8" xfId="0" applyNumberFormat="1" applyFill="1" applyBorder="1"/>
    <xf numFmtId="0" fontId="4" fillId="9" borderId="8" xfId="0" applyFont="1" applyFill="1" applyBorder="1"/>
    <xf numFmtId="0" fontId="4" fillId="9" borderId="8" xfId="0" applyFont="1" applyFill="1" applyBorder="1" applyAlignment="1">
      <alignment wrapText="1"/>
    </xf>
    <xf numFmtId="1" fontId="4" fillId="9" borderId="8" xfId="0" applyNumberFormat="1" applyFont="1" applyFill="1" applyBorder="1"/>
    <xf numFmtId="2" fontId="4" fillId="9" borderId="8" xfId="0" applyNumberFormat="1" applyFont="1" applyFill="1" applyBorder="1"/>
    <xf numFmtId="0" fontId="0" fillId="7" borderId="9" xfId="0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0" fillId="7" borderId="10" xfId="0" applyFill="1" applyBorder="1"/>
    <xf numFmtId="2" fontId="0" fillId="7" borderId="10" xfId="0" applyNumberFormat="1" applyFill="1" applyBorder="1"/>
    <xf numFmtId="2" fontId="0" fillId="7" borderId="4" xfId="0" applyNumberFormat="1" applyFill="1" applyBorder="1"/>
    <xf numFmtId="0" fontId="0" fillId="6" borderId="11" xfId="0" applyFill="1" applyBorder="1" applyAlignment="1">
      <alignment wrapText="1"/>
    </xf>
    <xf numFmtId="2" fontId="0" fillId="9" borderId="12" xfId="0" applyNumberFormat="1" applyFill="1" applyBorder="1"/>
    <xf numFmtId="0" fontId="4" fillId="6" borderId="11" xfId="0" applyFont="1" applyFill="1" applyBorder="1" applyAlignment="1">
      <alignment wrapText="1"/>
    </xf>
    <xf numFmtId="2" fontId="4" fillId="9" borderId="12" xfId="0" applyNumberFormat="1" applyFont="1" applyFill="1" applyBorder="1"/>
    <xf numFmtId="0" fontId="0" fillId="6" borderId="13" xfId="0" applyFill="1" applyBorder="1" applyAlignment="1">
      <alignment wrapText="1"/>
    </xf>
    <xf numFmtId="0" fontId="0" fillId="8" borderId="14" xfId="0" applyFill="1" applyBorder="1" applyAlignment="1">
      <alignment wrapText="1"/>
    </xf>
    <xf numFmtId="0" fontId="0" fillId="9" borderId="14" xfId="0" applyFill="1" applyBorder="1"/>
    <xf numFmtId="0" fontId="0" fillId="9" borderId="14" xfId="0" applyFill="1" applyBorder="1" applyAlignment="1">
      <alignment wrapText="1"/>
    </xf>
    <xf numFmtId="1" fontId="0" fillId="9" borderId="14" xfId="0" applyNumberFormat="1" applyFill="1" applyBorder="1"/>
    <xf numFmtId="2" fontId="0" fillId="9" borderId="14" xfId="0" applyNumberFormat="1" applyFill="1" applyBorder="1"/>
    <xf numFmtId="2" fontId="0" fillId="9" borderId="15" xfId="0" applyNumberFormat="1" applyFill="1" applyBorder="1"/>
    <xf numFmtId="0" fontId="0" fillId="6" borderId="17" xfId="0" applyFill="1" applyBorder="1" applyAlignment="1">
      <alignment wrapText="1"/>
    </xf>
    <xf numFmtId="0" fontId="0" fillId="8" borderId="18" xfId="0" applyFill="1" applyBorder="1" applyAlignment="1">
      <alignment wrapText="1"/>
    </xf>
    <xf numFmtId="0" fontId="0" fillId="9" borderId="18" xfId="0" applyFill="1" applyBorder="1"/>
    <xf numFmtId="0" fontId="0" fillId="9" borderId="18" xfId="0" applyFill="1" applyBorder="1" applyAlignment="1">
      <alignment wrapText="1"/>
    </xf>
    <xf numFmtId="1" fontId="0" fillId="9" borderId="18" xfId="0" applyNumberFormat="1" applyFill="1" applyBorder="1"/>
    <xf numFmtId="2" fontId="0" fillId="9" borderId="18" xfId="0" applyNumberFormat="1" applyFill="1" applyBorder="1"/>
    <xf numFmtId="2" fontId="0" fillId="9" borderId="19" xfId="0" applyNumberFormat="1" applyFill="1" applyBorder="1"/>
    <xf numFmtId="0" fontId="0" fillId="0" borderId="1" xfId="0" applyBorder="1"/>
    <xf numFmtId="0" fontId="0" fillId="0" borderId="2" xfId="0" applyBorder="1"/>
    <xf numFmtId="0" fontId="0" fillId="0" borderId="22" xfId="0" applyBorder="1"/>
    <xf numFmtId="0" fontId="0" fillId="0" borderId="3" xfId="0" applyBorder="1"/>
    <xf numFmtId="0" fontId="0" fillId="0" borderId="23" xfId="0" applyBorder="1"/>
    <xf numFmtId="0" fontId="0" fillId="0" borderId="4" xfId="0" applyBorder="1"/>
    <xf numFmtId="0" fontId="0" fillId="0" borderId="10" xfId="0" applyBorder="1"/>
    <xf numFmtId="0" fontId="0" fillId="0" borderId="9" xfId="0" applyBorder="1"/>
    <xf numFmtId="0" fontId="0" fillId="0" borderId="0" xfId="0" applyFill="1" applyBorder="1"/>
    <xf numFmtId="0" fontId="17" fillId="9" borderId="8" xfId="0" applyFont="1" applyFill="1" applyBorder="1"/>
    <xf numFmtId="0" fontId="0" fillId="10" borderId="0" xfId="0" applyFill="1" applyBorder="1"/>
    <xf numFmtId="0" fontId="11" fillId="0" borderId="0" xfId="0" applyFont="1" applyFill="1" applyBorder="1"/>
    <xf numFmtId="0" fontId="12" fillId="0" borderId="0" xfId="0" applyFont="1" applyFill="1" applyBorder="1"/>
    <xf numFmtId="2" fontId="12" fillId="0" borderId="0" xfId="0" applyNumberFormat="1" applyFont="1" applyFill="1" applyBorder="1"/>
    <xf numFmtId="0" fontId="0" fillId="0" borderId="8" xfId="0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2" fontId="0" fillId="0" borderId="0" xfId="0" applyNumberFormat="1" applyFill="1" applyBorder="1" applyAlignment="1">
      <alignment horizontal="right" wrapText="1"/>
    </xf>
    <xf numFmtId="164" fontId="0" fillId="0" borderId="0" xfId="0" applyNumberFormat="1" applyFill="1" applyBorder="1" applyAlignment="1">
      <alignment horizontal="right" vertical="center" wrapText="1"/>
    </xf>
    <xf numFmtId="165" fontId="0" fillId="0" borderId="0" xfId="0" applyNumberFormat="1" applyFill="1" applyBorder="1" applyAlignment="1">
      <alignment horizontal="right" wrapText="1"/>
    </xf>
    <xf numFmtId="164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wrapText="1"/>
    </xf>
    <xf numFmtId="0" fontId="19" fillId="0" borderId="0" xfId="0" applyFont="1"/>
    <xf numFmtId="0" fontId="19" fillId="0" borderId="0" xfId="2"/>
    <xf numFmtId="0" fontId="19" fillId="8" borderId="8" xfId="2" applyFont="1" applyFill="1" applyBorder="1"/>
    <xf numFmtId="0" fontId="20" fillId="8" borderId="8" xfId="2" applyFont="1" applyFill="1" applyBorder="1" applyAlignment="1">
      <alignment wrapText="1"/>
    </xf>
    <xf numFmtId="0" fontId="21" fillId="8" borderId="8" xfId="2" applyFont="1" applyFill="1" applyBorder="1"/>
    <xf numFmtId="2" fontId="21" fillId="8" borderId="8" xfId="2" applyNumberFormat="1" applyFont="1" applyFill="1" applyBorder="1"/>
    <xf numFmtId="0" fontId="20" fillId="8" borderId="8" xfId="2" applyFont="1" applyFill="1" applyBorder="1"/>
    <xf numFmtId="0" fontId="19" fillId="9" borderId="8" xfId="2" applyFont="1" applyFill="1" applyBorder="1"/>
    <xf numFmtId="0" fontId="20" fillId="9" borderId="8" xfId="2" applyFont="1" applyFill="1" applyBorder="1" applyAlignment="1">
      <alignment horizontal="right" wrapText="1"/>
    </xf>
    <xf numFmtId="0" fontId="20" fillId="9" borderId="8" xfId="2" applyFont="1" applyFill="1" applyBorder="1" applyAlignment="1">
      <alignment wrapText="1"/>
    </xf>
    <xf numFmtId="0" fontId="20" fillId="9" borderId="8" xfId="2" applyFont="1" applyFill="1" applyBorder="1"/>
    <xf numFmtId="0" fontId="22" fillId="9" borderId="8" xfId="2" applyFont="1" applyFill="1" applyBorder="1"/>
    <xf numFmtId="0" fontId="23" fillId="9" borderId="8" xfId="2" applyFont="1" applyFill="1" applyBorder="1"/>
    <xf numFmtId="0" fontId="24" fillId="9" borderId="8" xfId="2" applyFont="1" applyFill="1" applyBorder="1"/>
    <xf numFmtId="166" fontId="0" fillId="0" borderId="2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9" fillId="8" borderId="17" xfId="2" applyFont="1" applyFill="1" applyBorder="1"/>
    <xf numFmtId="0" fontId="19" fillId="8" borderId="18" xfId="2" applyFont="1" applyFill="1" applyBorder="1"/>
    <xf numFmtId="0" fontId="21" fillId="8" borderId="18" xfId="2" applyFont="1" applyFill="1" applyBorder="1"/>
    <xf numFmtId="2" fontId="21" fillId="8" borderId="18" xfId="2" applyNumberFormat="1" applyFont="1" applyFill="1" applyBorder="1"/>
    <xf numFmtId="0" fontId="20" fillId="8" borderId="18" xfId="2" applyFont="1" applyFill="1" applyBorder="1"/>
    <xf numFmtId="0" fontId="19" fillId="8" borderId="19" xfId="2" applyFont="1" applyFill="1" applyBorder="1"/>
    <xf numFmtId="0" fontId="19" fillId="8" borderId="11" xfId="2" applyFont="1" applyFill="1" applyBorder="1"/>
    <xf numFmtId="0" fontId="19" fillId="8" borderId="12" xfId="2" applyFont="1" applyFill="1" applyBorder="1"/>
    <xf numFmtId="0" fontId="20" fillId="8" borderId="11" xfId="2" applyFont="1" applyFill="1" applyBorder="1" applyAlignment="1">
      <alignment wrapText="1"/>
    </xf>
    <xf numFmtId="0" fontId="20" fillId="8" borderId="12" xfId="2" applyFont="1" applyFill="1" applyBorder="1" applyAlignment="1">
      <alignment wrapText="1"/>
    </xf>
    <xf numFmtId="0" fontId="19" fillId="8" borderId="13" xfId="2" applyFont="1" applyFill="1" applyBorder="1"/>
    <xf numFmtId="0" fontId="19" fillId="9" borderId="14" xfId="2" applyFont="1" applyFill="1" applyBorder="1"/>
    <xf numFmtId="0" fontId="19" fillId="8" borderId="15" xfId="2" applyFont="1" applyFill="1" applyBorder="1"/>
    <xf numFmtId="0" fontId="19" fillId="0" borderId="0" xfId="3">
      <alignment vertical="center"/>
    </xf>
    <xf numFmtId="0" fontId="25" fillId="9" borderId="8" xfId="0" applyFont="1" applyFill="1" applyBorder="1"/>
    <xf numFmtId="0" fontId="0" fillId="12" borderId="8" xfId="0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20" fillId="8" borderId="29" xfId="2" applyFont="1" applyFill="1" applyBorder="1"/>
    <xf numFmtId="0" fontId="0" fillId="6" borderId="8" xfId="0" applyFill="1" applyBorder="1"/>
    <xf numFmtId="0" fontId="1" fillId="9" borderId="8" xfId="0" applyFont="1" applyFill="1" applyBorder="1"/>
    <xf numFmtId="0" fontId="0" fillId="6" borderId="24" xfId="0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3" borderId="11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13" borderId="17" xfId="0" applyFill="1" applyBorder="1" applyAlignment="1">
      <alignment wrapText="1"/>
    </xf>
    <xf numFmtId="0" fontId="0" fillId="13" borderId="18" xfId="0" applyFill="1" applyBorder="1" applyAlignment="1">
      <alignment wrapText="1"/>
    </xf>
    <xf numFmtId="0" fontId="0" fillId="13" borderId="18" xfId="0" applyFill="1" applyBorder="1"/>
    <xf numFmtId="1" fontId="0" fillId="13" borderId="18" xfId="0" applyNumberFormat="1" applyFill="1" applyBorder="1"/>
    <xf numFmtId="2" fontId="0" fillId="13" borderId="18" xfId="0" applyNumberFormat="1" applyFill="1" applyBorder="1"/>
    <xf numFmtId="2" fontId="0" fillId="13" borderId="19" xfId="0" applyNumberFormat="1" applyFill="1" applyBorder="1"/>
    <xf numFmtId="0" fontId="0" fillId="13" borderId="11" xfId="0" applyFill="1" applyBorder="1" applyAlignment="1">
      <alignment wrapText="1"/>
    </xf>
    <xf numFmtId="0" fontId="0" fillId="13" borderId="8" xfId="0" applyFill="1" applyBorder="1" applyAlignment="1">
      <alignment wrapText="1"/>
    </xf>
    <xf numFmtId="0" fontId="0" fillId="13" borderId="8" xfId="0" applyFill="1" applyBorder="1"/>
    <xf numFmtId="1" fontId="0" fillId="13" borderId="8" xfId="0" applyNumberFormat="1" applyFill="1" applyBorder="1"/>
    <xf numFmtId="2" fontId="0" fillId="13" borderId="8" xfId="0" applyNumberFormat="1" applyFill="1" applyBorder="1"/>
    <xf numFmtId="2" fontId="0" fillId="13" borderId="12" xfId="0" applyNumberFormat="1" applyFill="1" applyBorder="1"/>
    <xf numFmtId="0" fontId="0" fillId="13" borderId="13" xfId="0" applyFill="1" applyBorder="1" applyAlignment="1">
      <alignment wrapText="1"/>
    </xf>
    <xf numFmtId="0" fontId="0" fillId="13" borderId="14" xfId="0" applyFill="1" applyBorder="1" applyAlignment="1">
      <alignment wrapText="1"/>
    </xf>
    <xf numFmtId="0" fontId="0" fillId="13" borderId="14" xfId="0" applyFill="1" applyBorder="1"/>
    <xf numFmtId="1" fontId="0" fillId="13" borderId="14" xfId="0" applyNumberFormat="1" applyFill="1" applyBorder="1"/>
    <xf numFmtId="2" fontId="0" fillId="13" borderId="14" xfId="0" applyNumberFormat="1" applyFill="1" applyBorder="1"/>
    <xf numFmtId="2" fontId="0" fillId="13" borderId="15" xfId="0" applyNumberFormat="1" applyFill="1" applyBorder="1"/>
    <xf numFmtId="0" fontId="2" fillId="0" borderId="0" xfId="0" applyFont="1"/>
    <xf numFmtId="0" fontId="0" fillId="13" borderId="16" xfId="0" applyFill="1" applyBorder="1"/>
    <xf numFmtId="2" fontId="0" fillId="0" borderId="0" xfId="0" applyNumberFormat="1" applyFill="1" applyBorder="1"/>
    <xf numFmtId="0" fontId="26" fillId="0" borderId="0" xfId="0" applyFont="1" applyAlignment="1">
      <alignment vertical="center"/>
    </xf>
    <xf numFmtId="0" fontId="0" fillId="6" borderId="17" xfId="0" applyFill="1" applyBorder="1"/>
    <xf numFmtId="0" fontId="1" fillId="9" borderId="18" xfId="0" applyFont="1" applyFill="1" applyBorder="1"/>
    <xf numFmtId="0" fontId="1" fillId="9" borderId="19" xfId="0" applyFont="1" applyFill="1" applyBorder="1"/>
    <xf numFmtId="0" fontId="0" fillId="6" borderId="11" xfId="0" applyFill="1" applyBorder="1"/>
    <xf numFmtId="0" fontId="1" fillId="9" borderId="12" xfId="0" applyFont="1" applyFill="1" applyBorder="1"/>
    <xf numFmtId="0" fontId="0" fillId="9" borderId="12" xfId="0" applyFill="1" applyBorder="1"/>
    <xf numFmtId="0" fontId="0" fillId="6" borderId="13" xfId="0" applyFill="1" applyBorder="1"/>
    <xf numFmtId="0" fontId="0" fillId="9" borderId="15" xfId="0" applyFill="1" applyBorder="1"/>
    <xf numFmtId="0" fontId="0" fillId="6" borderId="30" xfId="0" applyFill="1" applyBorder="1" applyAlignment="1">
      <alignment wrapText="1"/>
    </xf>
    <xf numFmtId="0" fontId="0" fillId="8" borderId="24" xfId="0" applyFill="1" applyBorder="1" applyAlignment="1">
      <alignment wrapText="1"/>
    </xf>
    <xf numFmtId="0" fontId="0" fillId="9" borderId="24" xfId="0" applyFill="1" applyBorder="1"/>
    <xf numFmtId="0" fontId="0" fillId="9" borderId="24" xfId="0" applyFill="1" applyBorder="1" applyAlignment="1">
      <alignment wrapText="1"/>
    </xf>
    <xf numFmtId="2" fontId="0" fillId="9" borderId="24" xfId="0" applyNumberFormat="1" applyFill="1" applyBorder="1"/>
    <xf numFmtId="1" fontId="0" fillId="9" borderId="24" xfId="0" applyNumberFormat="1" applyFill="1" applyBorder="1"/>
    <xf numFmtId="2" fontId="0" fillId="9" borderId="31" xfId="0" applyNumberFormat="1" applyFill="1" applyBorder="1"/>
    <xf numFmtId="0" fontId="0" fillId="7" borderId="26" xfId="0" applyFill="1" applyBorder="1" applyAlignment="1">
      <alignment wrapText="1"/>
    </xf>
    <xf numFmtId="0" fontId="0" fillId="7" borderId="27" xfId="0" applyFill="1" applyBorder="1" applyAlignment="1">
      <alignment wrapText="1"/>
    </xf>
    <xf numFmtId="0" fontId="0" fillId="7" borderId="27" xfId="0" applyFill="1" applyBorder="1"/>
    <xf numFmtId="2" fontId="0" fillId="7" borderId="27" xfId="0" applyNumberFormat="1" applyFill="1" applyBorder="1"/>
    <xf numFmtId="2" fontId="0" fillId="7" borderId="28" xfId="0" applyNumberFormat="1" applyFill="1" applyBorder="1"/>
    <xf numFmtId="0" fontId="11" fillId="0" borderId="9" xfId="0" applyFont="1" applyBorder="1"/>
    <xf numFmtId="0" fontId="11" fillId="0" borderId="34" xfId="0" applyFont="1" applyBorder="1"/>
    <xf numFmtId="0" fontId="11" fillId="0" borderId="35" xfId="0" applyFont="1" applyBorder="1"/>
    <xf numFmtId="0" fontId="12" fillId="11" borderId="36" xfId="0" applyFont="1" applyFill="1" applyBorder="1"/>
    <xf numFmtId="0" fontId="12" fillId="11" borderId="25" xfId="0" applyFont="1" applyFill="1" applyBorder="1"/>
    <xf numFmtId="0" fontId="12" fillId="11" borderId="25" xfId="0" applyNumberFormat="1" applyFont="1" applyFill="1" applyBorder="1"/>
    <xf numFmtId="2" fontId="12" fillId="11" borderId="25" xfId="0" applyNumberFormat="1" applyFont="1" applyFill="1" applyBorder="1"/>
    <xf numFmtId="0" fontId="12" fillId="11" borderId="32" xfId="0" applyFont="1" applyFill="1" applyBorder="1"/>
    <xf numFmtId="0" fontId="12" fillId="0" borderId="36" xfId="0" applyFont="1" applyBorder="1"/>
    <xf numFmtId="0" fontId="12" fillId="0" borderId="25" xfId="0" applyFont="1" applyBorder="1"/>
    <xf numFmtId="0" fontId="12" fillId="0" borderId="25" xfId="0" applyFont="1" applyBorder="1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5" xfId="0" applyNumberFormat="1" applyFont="1" applyBorder="1"/>
    <xf numFmtId="2" fontId="12" fillId="0" borderId="25" xfId="0" applyNumberFormat="1" applyFont="1" applyBorder="1"/>
    <xf numFmtId="0" fontId="12" fillId="0" borderId="32" xfId="0" applyFont="1" applyBorder="1"/>
    <xf numFmtId="0" fontId="12" fillId="11" borderId="25" xfId="0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164" fontId="12" fillId="0" borderId="25" xfId="0" applyNumberFormat="1" applyFont="1" applyBorder="1" applyAlignment="1">
      <alignment horizontal="center"/>
    </xf>
    <xf numFmtId="0" fontId="12" fillId="0" borderId="25" xfId="0" applyFont="1" applyBorder="1" applyAlignment="1">
      <alignment horizontal="right"/>
    </xf>
    <xf numFmtId="0" fontId="12" fillId="0" borderId="32" xfId="0" applyNumberFormat="1" applyFont="1" applyBorder="1"/>
    <xf numFmtId="0" fontId="12" fillId="11" borderId="36" xfId="0" applyFont="1" applyFill="1" applyBorder="1" applyAlignment="1">
      <alignment horizontal="center" vertical="center"/>
    </xf>
    <xf numFmtId="0" fontId="12" fillId="11" borderId="25" xfId="0" applyFont="1" applyFill="1" applyBorder="1" applyAlignment="1">
      <alignment horizontal="center"/>
    </xf>
    <xf numFmtId="164" fontId="12" fillId="11" borderId="25" xfId="0" applyNumberFormat="1" applyFont="1" applyFill="1" applyBorder="1" applyAlignment="1">
      <alignment horizontal="center"/>
    </xf>
    <xf numFmtId="0" fontId="12" fillId="11" borderId="25" xfId="0" applyFont="1" applyFill="1" applyBorder="1" applyAlignment="1">
      <alignment horizontal="right"/>
    </xf>
    <xf numFmtId="0" fontId="12" fillId="11" borderId="32" xfId="0" applyNumberFormat="1" applyFont="1" applyFill="1" applyBorder="1"/>
    <xf numFmtId="0" fontId="11" fillId="11" borderId="25" xfId="0" applyFont="1" applyFill="1" applyBorder="1"/>
    <xf numFmtId="0" fontId="4" fillId="0" borderId="25" xfId="0" applyFont="1" applyBorder="1"/>
    <xf numFmtId="1" fontId="12" fillId="11" borderId="25" xfId="0" applyNumberFormat="1" applyFont="1" applyFill="1" applyBorder="1"/>
    <xf numFmtId="0" fontId="1" fillId="0" borderId="25" xfId="0" applyFont="1" applyBorder="1"/>
    <xf numFmtId="2" fontId="1" fillId="0" borderId="25" xfId="0" applyNumberFormat="1" applyFont="1" applyBorder="1"/>
    <xf numFmtId="2" fontId="1" fillId="11" borderId="25" xfId="0" applyNumberFormat="1" applyFont="1" applyFill="1" applyBorder="1"/>
    <xf numFmtId="0" fontId="4" fillId="11" borderId="25" xfId="0" applyFont="1" applyFill="1" applyBorder="1"/>
    <xf numFmtId="2" fontId="12" fillId="11" borderId="36" xfId="0" applyNumberFormat="1" applyFont="1" applyFill="1" applyBorder="1"/>
    <xf numFmtId="0" fontId="1" fillId="11" borderId="25" xfId="0" applyFont="1" applyFill="1" applyBorder="1"/>
    <xf numFmtId="2" fontId="12" fillId="0" borderId="36" xfId="0" applyNumberFormat="1" applyFont="1" applyBorder="1"/>
    <xf numFmtId="0" fontId="12" fillId="11" borderId="37" xfId="0" applyFont="1" applyFill="1" applyBorder="1"/>
    <xf numFmtId="0" fontId="12" fillId="11" borderId="33" xfId="0" applyFont="1" applyFill="1" applyBorder="1"/>
    <xf numFmtId="2" fontId="12" fillId="11" borderId="33" xfId="0" applyNumberFormat="1" applyFont="1" applyFill="1" applyBorder="1"/>
    <xf numFmtId="0" fontId="12" fillId="11" borderId="15" xfId="0" applyFont="1" applyFill="1" applyBorder="1"/>
    <xf numFmtId="0" fontId="0" fillId="0" borderId="0" xfId="0" applyFill="1" applyBorder="1" applyAlignment="1">
      <alignment horizontal="right" vertical="center" wrapText="1"/>
    </xf>
    <xf numFmtId="0" fontId="11" fillId="0" borderId="29" xfId="0" applyFont="1" applyFill="1" applyBorder="1"/>
    <xf numFmtId="0" fontId="15" fillId="9" borderId="9" xfId="0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/>
    </xf>
    <xf numFmtId="0" fontId="15" fillId="9" borderId="22" xfId="0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14" fillId="9" borderId="9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2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8" fillId="9" borderId="9" xfId="0" applyFont="1" applyFill="1" applyBorder="1" applyAlignment="1">
      <alignment horizontal="center" vertical="center"/>
    </xf>
    <xf numFmtId="0" fontId="18" fillId="9" borderId="4" xfId="0" applyFont="1" applyFill="1" applyBorder="1" applyAlignment="1">
      <alignment horizontal="center" vertical="center"/>
    </xf>
    <xf numFmtId="0" fontId="18" fillId="9" borderId="22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/>
    </xf>
    <xf numFmtId="0" fontId="0" fillId="10" borderId="9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 wrapText="1"/>
    </xf>
    <xf numFmtId="0" fontId="16" fillId="9" borderId="9" xfId="0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/>
    </xf>
    <xf numFmtId="0" fontId="16" fillId="9" borderId="22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/>
    </xf>
    <xf numFmtId="0" fontId="5" fillId="10" borderId="21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5" fillId="10" borderId="9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5" fillId="10" borderId="22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16" fillId="9" borderId="10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0" fontId="15" fillId="9" borderId="3" xfId="0" applyFont="1" applyFill="1" applyBorder="1" applyAlignment="1">
      <alignment horizontal="center" vertical="center"/>
    </xf>
    <xf numFmtId="0" fontId="14" fillId="9" borderId="38" xfId="0" applyFont="1" applyFill="1" applyBorder="1" applyAlignment="1">
      <alignment horizontal="center" vertical="center"/>
    </xf>
    <xf numFmtId="0" fontId="14" fillId="9" borderId="39" xfId="0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/>
    </xf>
    <xf numFmtId="0" fontId="14" fillId="9" borderId="0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</cellXfs>
  <cellStyles count="4">
    <cellStyle name="Hyperlink" xfId="1" builtinId="8"/>
    <cellStyle name="Normal" xfId="0" builtinId="0"/>
    <cellStyle name="Normal 2" xfId="2" xr:uid="{A5F689CF-6E6D-49F6-8572-6AE8B73D56C7}"/>
    <cellStyle name="Normal 3" xfId="3" xr:uid="{B8EE61CE-0445-4514-AD6A-CD5DC3EC4B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0"/>
          </c:trendline>
          <c:xVal>
            <c:numRef>
              <c:f>Cruise!$I$104:$I$270</c:f>
              <c:numCache>
                <c:formatCode>General</c:formatCode>
                <c:ptCount val="167"/>
                <c:pt idx="0">
                  <c:v>339</c:v>
                </c:pt>
                <c:pt idx="1">
                  <c:v>362</c:v>
                </c:pt>
                <c:pt idx="2">
                  <c:v>310</c:v>
                </c:pt>
                <c:pt idx="3">
                  <c:v>253.3</c:v>
                </c:pt>
                <c:pt idx="4">
                  <c:v>362</c:v>
                </c:pt>
                <c:pt idx="5">
                  <c:v>362</c:v>
                </c:pt>
                <c:pt idx="6">
                  <c:v>348</c:v>
                </c:pt>
                <c:pt idx="7">
                  <c:v>181</c:v>
                </c:pt>
                <c:pt idx="8">
                  <c:v>290</c:v>
                </c:pt>
                <c:pt idx="9">
                  <c:v>306</c:v>
                </c:pt>
                <c:pt idx="10">
                  <c:v>290</c:v>
                </c:pt>
                <c:pt idx="11">
                  <c:v>272</c:v>
                </c:pt>
                <c:pt idx="12">
                  <c:v>306</c:v>
                </c:pt>
                <c:pt idx="13">
                  <c:v>308</c:v>
                </c:pt>
                <c:pt idx="14">
                  <c:v>260.60000000000002</c:v>
                </c:pt>
                <c:pt idx="15">
                  <c:v>290</c:v>
                </c:pt>
                <c:pt idx="16">
                  <c:v>292.5</c:v>
                </c:pt>
                <c:pt idx="17">
                  <c:v>306</c:v>
                </c:pt>
                <c:pt idx="18">
                  <c:v>305</c:v>
                </c:pt>
                <c:pt idx="19">
                  <c:v>324</c:v>
                </c:pt>
                <c:pt idx="20">
                  <c:v>246</c:v>
                </c:pt>
                <c:pt idx="21">
                  <c:v>263.89999999999998</c:v>
                </c:pt>
                <c:pt idx="22">
                  <c:v>319</c:v>
                </c:pt>
                <c:pt idx="23">
                  <c:v>315</c:v>
                </c:pt>
                <c:pt idx="24">
                  <c:v>319</c:v>
                </c:pt>
                <c:pt idx="25">
                  <c:v>315</c:v>
                </c:pt>
                <c:pt idx="26">
                  <c:v>319</c:v>
                </c:pt>
                <c:pt idx="27">
                  <c:v>88.5</c:v>
                </c:pt>
                <c:pt idx="28">
                  <c:v>191</c:v>
                </c:pt>
                <c:pt idx="29">
                  <c:v>100.01</c:v>
                </c:pt>
                <c:pt idx="30">
                  <c:v>104</c:v>
                </c:pt>
                <c:pt idx="31">
                  <c:v>104</c:v>
                </c:pt>
                <c:pt idx="32">
                  <c:v>90.220800000000011</c:v>
                </c:pt>
                <c:pt idx="33">
                  <c:v>223.7</c:v>
                </c:pt>
                <c:pt idx="34">
                  <c:v>294</c:v>
                </c:pt>
                <c:pt idx="35">
                  <c:v>91</c:v>
                </c:pt>
                <c:pt idx="36">
                  <c:v>250</c:v>
                </c:pt>
                <c:pt idx="37">
                  <c:v>250</c:v>
                </c:pt>
                <c:pt idx="38">
                  <c:v>238</c:v>
                </c:pt>
                <c:pt idx="39">
                  <c:v>261.3</c:v>
                </c:pt>
                <c:pt idx="40">
                  <c:v>290</c:v>
                </c:pt>
                <c:pt idx="41">
                  <c:v>340</c:v>
                </c:pt>
                <c:pt idx="42">
                  <c:v>340</c:v>
                </c:pt>
                <c:pt idx="43">
                  <c:v>340</c:v>
                </c:pt>
                <c:pt idx="44">
                  <c:v>88.3</c:v>
                </c:pt>
                <c:pt idx="45">
                  <c:v>290</c:v>
                </c:pt>
                <c:pt idx="46">
                  <c:v>301.8</c:v>
                </c:pt>
                <c:pt idx="47">
                  <c:v>218.8</c:v>
                </c:pt>
                <c:pt idx="48">
                  <c:v>310</c:v>
                </c:pt>
                <c:pt idx="49">
                  <c:v>311</c:v>
                </c:pt>
                <c:pt idx="50">
                  <c:v>188.3</c:v>
                </c:pt>
                <c:pt idx="51">
                  <c:v>216.8</c:v>
                </c:pt>
                <c:pt idx="52">
                  <c:v>339</c:v>
                </c:pt>
                <c:pt idx="53">
                  <c:v>89.35</c:v>
                </c:pt>
                <c:pt idx="54">
                  <c:v>212.1</c:v>
                </c:pt>
                <c:pt idx="55">
                  <c:v>335.3</c:v>
                </c:pt>
                <c:pt idx="56">
                  <c:v>362.12</c:v>
                </c:pt>
                <c:pt idx="57">
                  <c:v>333.33</c:v>
                </c:pt>
                <c:pt idx="58">
                  <c:v>108.2</c:v>
                </c:pt>
                <c:pt idx="59">
                  <c:v>339</c:v>
                </c:pt>
                <c:pt idx="60">
                  <c:v>339</c:v>
                </c:pt>
                <c:pt idx="61">
                  <c:v>208.48320000000001</c:v>
                </c:pt>
                <c:pt idx="62">
                  <c:v>171.2</c:v>
                </c:pt>
                <c:pt idx="63">
                  <c:v>90</c:v>
                </c:pt>
                <c:pt idx="64">
                  <c:v>293.2</c:v>
                </c:pt>
                <c:pt idx="65">
                  <c:v>297</c:v>
                </c:pt>
                <c:pt idx="66">
                  <c:v>142</c:v>
                </c:pt>
                <c:pt idx="67">
                  <c:v>100</c:v>
                </c:pt>
                <c:pt idx="68">
                  <c:v>339</c:v>
                </c:pt>
                <c:pt idx="69">
                  <c:v>339</c:v>
                </c:pt>
                <c:pt idx="70">
                  <c:v>330</c:v>
                </c:pt>
                <c:pt idx="71">
                  <c:v>268.2</c:v>
                </c:pt>
                <c:pt idx="72">
                  <c:v>251</c:v>
                </c:pt>
                <c:pt idx="73">
                  <c:v>216</c:v>
                </c:pt>
                <c:pt idx="74">
                  <c:v>310</c:v>
                </c:pt>
                <c:pt idx="75">
                  <c:v>296</c:v>
                </c:pt>
                <c:pt idx="76">
                  <c:v>315.8</c:v>
                </c:pt>
                <c:pt idx="77">
                  <c:v>111</c:v>
                </c:pt>
                <c:pt idx="78">
                  <c:v>200</c:v>
                </c:pt>
                <c:pt idx="79">
                  <c:v>122.8</c:v>
                </c:pt>
                <c:pt idx="80">
                  <c:v>333</c:v>
                </c:pt>
                <c:pt idx="81">
                  <c:v>333</c:v>
                </c:pt>
                <c:pt idx="82">
                  <c:v>333</c:v>
                </c:pt>
                <c:pt idx="83">
                  <c:v>333</c:v>
                </c:pt>
                <c:pt idx="84">
                  <c:v>333</c:v>
                </c:pt>
                <c:pt idx="85">
                  <c:v>333</c:v>
                </c:pt>
                <c:pt idx="86">
                  <c:v>333</c:v>
                </c:pt>
                <c:pt idx="87">
                  <c:v>135</c:v>
                </c:pt>
                <c:pt idx="88">
                  <c:v>112</c:v>
                </c:pt>
                <c:pt idx="89">
                  <c:v>181</c:v>
                </c:pt>
                <c:pt idx="90">
                  <c:v>170.69</c:v>
                </c:pt>
                <c:pt idx="91">
                  <c:v>310</c:v>
                </c:pt>
                <c:pt idx="92">
                  <c:v>154.4</c:v>
                </c:pt>
                <c:pt idx="93">
                  <c:v>324</c:v>
                </c:pt>
                <c:pt idx="94">
                  <c:v>325</c:v>
                </c:pt>
                <c:pt idx="95">
                  <c:v>329</c:v>
                </c:pt>
                <c:pt idx="96">
                  <c:v>325.89999999999998</c:v>
                </c:pt>
                <c:pt idx="97">
                  <c:v>325.7</c:v>
                </c:pt>
                <c:pt idx="98">
                  <c:v>333.5</c:v>
                </c:pt>
                <c:pt idx="99">
                  <c:v>124.19</c:v>
                </c:pt>
                <c:pt idx="100">
                  <c:v>198.19</c:v>
                </c:pt>
                <c:pt idx="101">
                  <c:v>102.7</c:v>
                </c:pt>
                <c:pt idx="102">
                  <c:v>347.77680000000004</c:v>
                </c:pt>
                <c:pt idx="103">
                  <c:v>294</c:v>
                </c:pt>
                <c:pt idx="104">
                  <c:v>294</c:v>
                </c:pt>
                <c:pt idx="105">
                  <c:v>345</c:v>
                </c:pt>
                <c:pt idx="106">
                  <c:v>294</c:v>
                </c:pt>
                <c:pt idx="107">
                  <c:v>198</c:v>
                </c:pt>
                <c:pt idx="108">
                  <c:v>330</c:v>
                </c:pt>
                <c:pt idx="109">
                  <c:v>181</c:v>
                </c:pt>
                <c:pt idx="110">
                  <c:v>251</c:v>
                </c:pt>
                <c:pt idx="111">
                  <c:v>136.12</c:v>
                </c:pt>
                <c:pt idx="112">
                  <c:v>330</c:v>
                </c:pt>
                <c:pt idx="113">
                  <c:v>181</c:v>
                </c:pt>
                <c:pt idx="114">
                  <c:v>329</c:v>
                </c:pt>
                <c:pt idx="115">
                  <c:v>154.41</c:v>
                </c:pt>
                <c:pt idx="116">
                  <c:v>135</c:v>
                </c:pt>
                <c:pt idx="117">
                  <c:v>198</c:v>
                </c:pt>
                <c:pt idx="118">
                  <c:v>134.1</c:v>
                </c:pt>
                <c:pt idx="119">
                  <c:v>104.81</c:v>
                </c:pt>
                <c:pt idx="120">
                  <c:v>224</c:v>
                </c:pt>
                <c:pt idx="121">
                  <c:v>170.6</c:v>
                </c:pt>
                <c:pt idx="122">
                  <c:v>204.1</c:v>
                </c:pt>
                <c:pt idx="123">
                  <c:v>232.86720000000003</c:v>
                </c:pt>
                <c:pt idx="124">
                  <c:v>202</c:v>
                </c:pt>
                <c:pt idx="125">
                  <c:v>203.03</c:v>
                </c:pt>
                <c:pt idx="126">
                  <c:v>108</c:v>
                </c:pt>
                <c:pt idx="127">
                  <c:v>196</c:v>
                </c:pt>
                <c:pt idx="128">
                  <c:v>198</c:v>
                </c:pt>
                <c:pt idx="129">
                  <c:v>329.18400000000003</c:v>
                </c:pt>
                <c:pt idx="130">
                  <c:v>90</c:v>
                </c:pt>
                <c:pt idx="131">
                  <c:v>264.2</c:v>
                </c:pt>
                <c:pt idx="132">
                  <c:v>268.60000000000002</c:v>
                </c:pt>
                <c:pt idx="133">
                  <c:v>194</c:v>
                </c:pt>
                <c:pt idx="134">
                  <c:v>228.2</c:v>
                </c:pt>
                <c:pt idx="135">
                  <c:v>228</c:v>
                </c:pt>
                <c:pt idx="136">
                  <c:v>279</c:v>
                </c:pt>
                <c:pt idx="137">
                  <c:v>206.5</c:v>
                </c:pt>
                <c:pt idx="138">
                  <c:v>310</c:v>
                </c:pt>
                <c:pt idx="139">
                  <c:v>232.86720000000003</c:v>
                </c:pt>
                <c:pt idx="140">
                  <c:v>90.220800000000011</c:v>
                </c:pt>
                <c:pt idx="141">
                  <c:v>186.02</c:v>
                </c:pt>
              </c:numCache>
            </c:numRef>
          </c:xVal>
          <c:yVal>
            <c:numRef>
              <c:f>Cruise!$K$104:$K$270</c:f>
              <c:numCache>
                <c:formatCode>General</c:formatCode>
                <c:ptCount val="167"/>
                <c:pt idx="0">
                  <c:v>56</c:v>
                </c:pt>
                <c:pt idx="1">
                  <c:v>65</c:v>
                </c:pt>
                <c:pt idx="2">
                  <c:v>48</c:v>
                </c:pt>
                <c:pt idx="3">
                  <c:v>32.200000000000003</c:v>
                </c:pt>
                <c:pt idx="4">
                  <c:v>65</c:v>
                </c:pt>
                <c:pt idx="5">
                  <c:v>47</c:v>
                </c:pt>
                <c:pt idx="6">
                  <c:v>41.4</c:v>
                </c:pt>
                <c:pt idx="7">
                  <c:v>25.46</c:v>
                </c:pt>
                <c:pt idx="8">
                  <c:v>36</c:v>
                </c:pt>
                <c:pt idx="9">
                  <c:v>37</c:v>
                </c:pt>
                <c:pt idx="10">
                  <c:v>35.5</c:v>
                </c:pt>
                <c:pt idx="11">
                  <c:v>35.299999999999997</c:v>
                </c:pt>
                <c:pt idx="12">
                  <c:v>48</c:v>
                </c:pt>
                <c:pt idx="13">
                  <c:v>41</c:v>
                </c:pt>
                <c:pt idx="14">
                  <c:v>31.4</c:v>
                </c:pt>
                <c:pt idx="15">
                  <c:v>32.200000000000003</c:v>
                </c:pt>
                <c:pt idx="16">
                  <c:v>32.200000000000003</c:v>
                </c:pt>
                <c:pt idx="17">
                  <c:v>48</c:v>
                </c:pt>
                <c:pt idx="18">
                  <c:v>37</c:v>
                </c:pt>
                <c:pt idx="19">
                  <c:v>37</c:v>
                </c:pt>
                <c:pt idx="20">
                  <c:v>32.200000000000003</c:v>
                </c:pt>
                <c:pt idx="21">
                  <c:v>32.200000000000003</c:v>
                </c:pt>
                <c:pt idx="22">
                  <c:v>37.4</c:v>
                </c:pt>
                <c:pt idx="23">
                  <c:v>38</c:v>
                </c:pt>
                <c:pt idx="24">
                  <c:v>48</c:v>
                </c:pt>
                <c:pt idx="25">
                  <c:v>37</c:v>
                </c:pt>
                <c:pt idx="26">
                  <c:v>48</c:v>
                </c:pt>
                <c:pt idx="27">
                  <c:v>14.8</c:v>
                </c:pt>
                <c:pt idx="28">
                  <c:v>35.840000000000003</c:v>
                </c:pt>
                <c:pt idx="29">
                  <c:v>16.239999999999998</c:v>
                </c:pt>
                <c:pt idx="30">
                  <c:v>16</c:v>
                </c:pt>
                <c:pt idx="31">
                  <c:v>16</c:v>
                </c:pt>
                <c:pt idx="32" formatCode="0.00">
                  <c:v>21.4</c:v>
                </c:pt>
                <c:pt idx="33">
                  <c:v>35</c:v>
                </c:pt>
                <c:pt idx="34">
                  <c:v>32.200000000000003</c:v>
                </c:pt>
                <c:pt idx="35">
                  <c:v>15</c:v>
                </c:pt>
                <c:pt idx="36">
                  <c:v>32</c:v>
                </c:pt>
                <c:pt idx="37">
                  <c:v>32</c:v>
                </c:pt>
                <c:pt idx="38">
                  <c:v>30</c:v>
                </c:pt>
                <c:pt idx="39">
                  <c:v>32.200000000000003</c:v>
                </c:pt>
                <c:pt idx="40">
                  <c:v>37.5</c:v>
                </c:pt>
                <c:pt idx="41">
                  <c:v>37</c:v>
                </c:pt>
                <c:pt idx="42">
                  <c:v>37</c:v>
                </c:pt>
                <c:pt idx="43">
                  <c:v>42</c:v>
                </c:pt>
                <c:pt idx="44">
                  <c:v>15.3</c:v>
                </c:pt>
                <c:pt idx="45">
                  <c:v>36</c:v>
                </c:pt>
                <c:pt idx="46">
                  <c:v>32.200000000000003</c:v>
                </c:pt>
                <c:pt idx="47">
                  <c:v>30.5</c:v>
                </c:pt>
                <c:pt idx="48">
                  <c:v>48</c:v>
                </c:pt>
                <c:pt idx="49">
                  <c:v>38</c:v>
                </c:pt>
                <c:pt idx="50">
                  <c:v>28.7</c:v>
                </c:pt>
                <c:pt idx="51">
                  <c:v>30.5</c:v>
                </c:pt>
                <c:pt idx="52">
                  <c:v>56</c:v>
                </c:pt>
                <c:pt idx="53">
                  <c:v>15.3</c:v>
                </c:pt>
                <c:pt idx="54">
                  <c:v>29</c:v>
                </c:pt>
                <c:pt idx="55">
                  <c:v>39.700000000000003</c:v>
                </c:pt>
                <c:pt idx="56">
                  <c:v>47.42</c:v>
                </c:pt>
                <c:pt idx="57">
                  <c:v>38</c:v>
                </c:pt>
                <c:pt idx="58">
                  <c:v>16</c:v>
                </c:pt>
                <c:pt idx="59">
                  <c:v>56</c:v>
                </c:pt>
                <c:pt idx="60">
                  <c:v>38</c:v>
                </c:pt>
                <c:pt idx="62">
                  <c:v>27.6</c:v>
                </c:pt>
                <c:pt idx="63">
                  <c:v>15</c:v>
                </c:pt>
                <c:pt idx="64">
                  <c:v>32.200000000000003</c:v>
                </c:pt>
                <c:pt idx="65">
                  <c:v>35</c:v>
                </c:pt>
                <c:pt idx="66">
                  <c:v>18</c:v>
                </c:pt>
                <c:pt idx="67">
                  <c:v>14</c:v>
                </c:pt>
                <c:pt idx="68">
                  <c:v>56</c:v>
                </c:pt>
                <c:pt idx="69">
                  <c:v>38</c:v>
                </c:pt>
                <c:pt idx="70">
                  <c:v>38.4</c:v>
                </c:pt>
                <c:pt idx="71">
                  <c:v>32.299999999999997</c:v>
                </c:pt>
                <c:pt idx="72">
                  <c:v>32.200000000000003</c:v>
                </c:pt>
                <c:pt idx="73">
                  <c:v>28.8</c:v>
                </c:pt>
                <c:pt idx="74">
                  <c:v>49</c:v>
                </c:pt>
                <c:pt idx="75">
                  <c:v>36</c:v>
                </c:pt>
                <c:pt idx="76">
                  <c:v>43</c:v>
                </c:pt>
                <c:pt idx="77">
                  <c:v>17</c:v>
                </c:pt>
                <c:pt idx="78">
                  <c:v>26</c:v>
                </c:pt>
                <c:pt idx="79">
                  <c:v>18</c:v>
                </c:pt>
                <c:pt idx="80">
                  <c:v>38</c:v>
                </c:pt>
                <c:pt idx="81">
                  <c:v>38</c:v>
                </c:pt>
                <c:pt idx="82">
                  <c:v>38</c:v>
                </c:pt>
                <c:pt idx="83">
                  <c:v>38</c:v>
                </c:pt>
                <c:pt idx="84">
                  <c:v>50</c:v>
                </c:pt>
                <c:pt idx="85">
                  <c:v>38</c:v>
                </c:pt>
                <c:pt idx="86">
                  <c:v>50</c:v>
                </c:pt>
                <c:pt idx="87">
                  <c:v>19.600000000000001</c:v>
                </c:pt>
                <c:pt idx="88">
                  <c:v>16</c:v>
                </c:pt>
                <c:pt idx="89">
                  <c:v>25.46</c:v>
                </c:pt>
                <c:pt idx="90">
                  <c:v>24.8</c:v>
                </c:pt>
                <c:pt idx="91">
                  <c:v>49</c:v>
                </c:pt>
                <c:pt idx="92">
                  <c:v>24.7</c:v>
                </c:pt>
                <c:pt idx="93">
                  <c:v>39.700000000000003</c:v>
                </c:pt>
                <c:pt idx="94">
                  <c:v>51</c:v>
                </c:pt>
                <c:pt idx="95">
                  <c:v>41</c:v>
                </c:pt>
                <c:pt idx="96">
                  <c:v>41.4</c:v>
                </c:pt>
                <c:pt idx="97">
                  <c:v>39.700000000000003</c:v>
                </c:pt>
                <c:pt idx="98">
                  <c:v>41.4</c:v>
                </c:pt>
                <c:pt idx="99">
                  <c:v>16</c:v>
                </c:pt>
                <c:pt idx="100">
                  <c:v>25.6</c:v>
                </c:pt>
                <c:pt idx="101">
                  <c:v>14.25</c:v>
                </c:pt>
                <c:pt idx="102">
                  <c:v>41</c:v>
                </c:pt>
                <c:pt idx="103">
                  <c:v>32.299999999999997</c:v>
                </c:pt>
                <c:pt idx="104">
                  <c:v>32.299999999999997</c:v>
                </c:pt>
                <c:pt idx="105">
                  <c:v>41</c:v>
                </c:pt>
                <c:pt idx="106">
                  <c:v>32.25</c:v>
                </c:pt>
                <c:pt idx="107">
                  <c:v>25.6</c:v>
                </c:pt>
                <c:pt idx="108">
                  <c:v>44</c:v>
                </c:pt>
                <c:pt idx="109">
                  <c:v>25.46</c:v>
                </c:pt>
                <c:pt idx="110">
                  <c:v>32.200000000000003</c:v>
                </c:pt>
                <c:pt idx="111">
                  <c:v>24.24</c:v>
                </c:pt>
                <c:pt idx="112">
                  <c:v>38.4</c:v>
                </c:pt>
                <c:pt idx="113">
                  <c:v>25.46</c:v>
                </c:pt>
                <c:pt idx="114">
                  <c:v>44</c:v>
                </c:pt>
                <c:pt idx="115">
                  <c:v>21.04</c:v>
                </c:pt>
                <c:pt idx="116">
                  <c:v>19.2</c:v>
                </c:pt>
                <c:pt idx="117">
                  <c:v>25.6</c:v>
                </c:pt>
                <c:pt idx="118">
                  <c:v>19.2</c:v>
                </c:pt>
                <c:pt idx="119">
                  <c:v>14.6</c:v>
                </c:pt>
                <c:pt idx="120">
                  <c:v>31.1</c:v>
                </c:pt>
                <c:pt idx="121">
                  <c:v>21.8</c:v>
                </c:pt>
                <c:pt idx="122">
                  <c:v>28.8</c:v>
                </c:pt>
                <c:pt idx="123" formatCode="0.00">
                  <c:v>24.8</c:v>
                </c:pt>
                <c:pt idx="124">
                  <c:v>32</c:v>
                </c:pt>
                <c:pt idx="125">
                  <c:v>31.5</c:v>
                </c:pt>
                <c:pt idx="126">
                  <c:v>15.6</c:v>
                </c:pt>
                <c:pt idx="128">
                  <c:v>25.6</c:v>
                </c:pt>
                <c:pt idx="130">
                  <c:v>15</c:v>
                </c:pt>
                <c:pt idx="131">
                  <c:v>32</c:v>
                </c:pt>
                <c:pt idx="132">
                  <c:v>32.200000000000003</c:v>
                </c:pt>
                <c:pt idx="133">
                  <c:v>28</c:v>
                </c:pt>
                <c:pt idx="134">
                  <c:v>28.8</c:v>
                </c:pt>
                <c:pt idx="135">
                  <c:v>28.8</c:v>
                </c:pt>
                <c:pt idx="136">
                  <c:v>32.200000000000003</c:v>
                </c:pt>
                <c:pt idx="137">
                  <c:v>28.8</c:v>
                </c:pt>
                <c:pt idx="138">
                  <c:v>48</c:v>
                </c:pt>
                <c:pt idx="139" formatCode="0.00">
                  <c:v>24.8</c:v>
                </c:pt>
                <c:pt idx="141">
                  <c:v>23.7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A6-498A-9AD2-E7AA4E2D342C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76200">
                <a:solidFill>
                  <a:srgbClr val="FF0000"/>
                </a:solidFill>
              </a:ln>
              <a:effectLst/>
            </c:spPr>
          </c:marker>
          <c:xVal>
            <c:numRef>
              <c:f>Cruise!$B$2</c:f>
              <c:numCache>
                <c:formatCode>General</c:formatCode>
                <c:ptCount val="1"/>
                <c:pt idx="0">
                  <c:v>280</c:v>
                </c:pt>
              </c:numCache>
            </c:numRef>
          </c:xVal>
          <c:yVal>
            <c:numRef>
              <c:f>Cruise!$B$3</c:f>
              <c:numCache>
                <c:formatCode>General</c:formatCode>
                <c:ptCount val="1"/>
                <c:pt idx="0">
                  <c:v>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938-43C3-A100-AF6187E8F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408952"/>
        <c:axId val="539421752"/>
      </c:scatterChart>
      <c:valAx>
        <c:axId val="449408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421752"/>
        <c:crosses val="autoZero"/>
        <c:crossBetween val="midCat"/>
      </c:valAx>
      <c:valAx>
        <c:axId val="539421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408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0"/>
          </c:trendline>
          <c:xVal>
            <c:numRef>
              <c:f>Cruise!$X$104:$X$342</c:f>
              <c:numCache>
                <c:formatCode>General</c:formatCode>
                <c:ptCount val="239"/>
                <c:pt idx="0">
                  <c:v>6.5650644783118413</c:v>
                </c:pt>
                <c:pt idx="1">
                  <c:v>6.9892473118279561</c:v>
                </c:pt>
                <c:pt idx="2">
                  <c:v>5.5813953488372094</c:v>
                </c:pt>
                <c:pt idx="3">
                  <c:v>4.4109589041095898</c:v>
                </c:pt>
                <c:pt idx="4">
                  <c:v>6.9892473118279561</c:v>
                </c:pt>
                <c:pt idx="5">
                  <c:v>5.053763440860215</c:v>
                </c:pt>
                <c:pt idx="6">
                  <c:v>4.7045454545454541</c:v>
                </c:pt>
                <c:pt idx="7">
                  <c:v>4.3896551724137938</c:v>
                </c:pt>
                <c:pt idx="8">
                  <c:v>4.5</c:v>
                </c:pt>
                <c:pt idx="9">
                  <c:v>4.51219512195122</c:v>
                </c:pt>
                <c:pt idx="10">
                  <c:v>4.3292682926829276</c:v>
                </c:pt>
                <c:pt idx="11">
                  <c:v>4.3048780487804876</c:v>
                </c:pt>
                <c:pt idx="13">
                  <c:v>5</c:v>
                </c:pt>
                <c:pt idx="14">
                  <c:v>3.9746835443037969</c:v>
                </c:pt>
                <c:pt idx="15">
                  <c:v>3.8795180722891565</c:v>
                </c:pt>
                <c:pt idx="16">
                  <c:v>4.1282051282051286</c:v>
                </c:pt>
                <c:pt idx="17">
                  <c:v>5.783132530120481</c:v>
                </c:pt>
                <c:pt idx="18">
                  <c:v>4.4047619047619042</c:v>
                </c:pt>
                <c:pt idx="19">
                  <c:v>4.51219512195122</c:v>
                </c:pt>
                <c:pt idx="20">
                  <c:v>4.2933333333333339</c:v>
                </c:pt>
                <c:pt idx="21">
                  <c:v>4.1818181818181817</c:v>
                </c:pt>
                <c:pt idx="22">
                  <c:v>4.3488372093023253</c:v>
                </c:pt>
                <c:pt idx="23">
                  <c:v>4.6341463414634152</c:v>
                </c:pt>
                <c:pt idx="24">
                  <c:v>5.5813953488372094</c:v>
                </c:pt>
                <c:pt idx="26">
                  <c:v>5.5813953488372094</c:v>
                </c:pt>
                <c:pt idx="27">
                  <c:v>4.204545454545455</c:v>
                </c:pt>
                <c:pt idx="28">
                  <c:v>5.4303030303030315</c:v>
                </c:pt>
                <c:pt idx="29">
                  <c:v>3.4924731182795692</c:v>
                </c:pt>
                <c:pt idx="30">
                  <c:v>3.5555555555555554</c:v>
                </c:pt>
                <c:pt idx="31">
                  <c:v>3.5555555555555554</c:v>
                </c:pt>
                <c:pt idx="32">
                  <c:v>4.0377358490566033</c:v>
                </c:pt>
                <c:pt idx="33">
                  <c:v>5.1470588235294121</c:v>
                </c:pt>
                <c:pt idx="34">
                  <c:v>4.075949367088608</c:v>
                </c:pt>
                <c:pt idx="35">
                  <c:v>3.5714285714285712</c:v>
                </c:pt>
                <c:pt idx="36">
                  <c:v>4.2666666666666666</c:v>
                </c:pt>
                <c:pt idx="37">
                  <c:v>4.2666666666666666</c:v>
                </c:pt>
                <c:pt idx="38">
                  <c:v>3.75</c:v>
                </c:pt>
                <c:pt idx="39">
                  <c:v>3.975308641975309</c:v>
                </c:pt>
                <c:pt idx="40">
                  <c:v>4.6583850931677011</c:v>
                </c:pt>
                <c:pt idx="41">
                  <c:v>4.6835443037974684</c:v>
                </c:pt>
                <c:pt idx="42">
                  <c:v>4.2528735632183912</c:v>
                </c:pt>
                <c:pt idx="43">
                  <c:v>4.8837209302325579</c:v>
                </c:pt>
                <c:pt idx="44">
                  <c:v>4.1917808219178081</c:v>
                </c:pt>
                <c:pt idx="45">
                  <c:v>4.5</c:v>
                </c:pt>
                <c:pt idx="46">
                  <c:v>4.2368421052631584</c:v>
                </c:pt>
                <c:pt idx="47">
                  <c:v>4.3571428571428568</c:v>
                </c:pt>
                <c:pt idx="48">
                  <c:v>5.783132530120481</c:v>
                </c:pt>
                <c:pt idx="49">
                  <c:v>4.3181818181818175</c:v>
                </c:pt>
                <c:pt idx="50">
                  <c:v>4.4153846153846157</c:v>
                </c:pt>
                <c:pt idx="51">
                  <c:v>4.3571428571428568</c:v>
                </c:pt>
                <c:pt idx="52">
                  <c:v>6.5882352941176467</c:v>
                </c:pt>
                <c:pt idx="53">
                  <c:v>4.1917808219178081</c:v>
                </c:pt>
                <c:pt idx="54">
                  <c:v>4.6031746031746037</c:v>
                </c:pt>
                <c:pt idx="55">
                  <c:v>4.7831325301204819</c:v>
                </c:pt>
                <c:pt idx="56">
                  <c:v>5.0989247311827954</c:v>
                </c:pt>
                <c:pt idx="57">
                  <c:v>4.5838359469240055</c:v>
                </c:pt>
                <c:pt idx="58">
                  <c:v>3.5555555555555554</c:v>
                </c:pt>
                <c:pt idx="59">
                  <c:v>6.3636363636363633</c:v>
                </c:pt>
                <c:pt idx="60">
                  <c:v>4.3678160919540234</c:v>
                </c:pt>
                <c:pt idx="62">
                  <c:v>4.4160000000000004</c:v>
                </c:pt>
                <c:pt idx="63">
                  <c:v>3.5714285714285712</c:v>
                </c:pt>
                <c:pt idx="64">
                  <c:v>3.7882352941176474</c:v>
                </c:pt>
                <c:pt idx="65">
                  <c:v>4.4025157232704402</c:v>
                </c:pt>
                <c:pt idx="66">
                  <c:v>3.8297872340425529</c:v>
                </c:pt>
                <c:pt idx="67">
                  <c:v>4.3478260869565215</c:v>
                </c:pt>
                <c:pt idx="68">
                  <c:v>6.5650644783118413</c:v>
                </c:pt>
                <c:pt idx="69">
                  <c:v>4.3678160919540234</c:v>
                </c:pt>
                <c:pt idx="70">
                  <c:v>4.5714285714285712</c:v>
                </c:pt>
                <c:pt idx="71">
                  <c:v>4.25</c:v>
                </c:pt>
                <c:pt idx="72">
                  <c:v>4.3989071038251364</c:v>
                </c:pt>
                <c:pt idx="73">
                  <c:v>4.5</c:v>
                </c:pt>
                <c:pt idx="74">
                  <c:v>5.4444444444444446</c:v>
                </c:pt>
                <c:pt idx="75">
                  <c:v>4.5</c:v>
                </c:pt>
                <c:pt idx="76">
                  <c:v>4.9142857142857146</c:v>
                </c:pt>
                <c:pt idx="77">
                  <c:v>3.541666666666667</c:v>
                </c:pt>
                <c:pt idx="78">
                  <c:v>4</c:v>
                </c:pt>
                <c:pt idx="79">
                  <c:v>3.6659877800407332</c:v>
                </c:pt>
                <c:pt idx="80">
                  <c:v>4.5838359469240055</c:v>
                </c:pt>
                <c:pt idx="81">
                  <c:v>4.4186046511627906</c:v>
                </c:pt>
                <c:pt idx="82">
                  <c:v>4.3930635838150289</c:v>
                </c:pt>
                <c:pt idx="83">
                  <c:v>4.5838359469240055</c:v>
                </c:pt>
                <c:pt idx="84">
                  <c:v>5.8139534883720936</c:v>
                </c:pt>
                <c:pt idx="85">
                  <c:v>4.5838359469240055</c:v>
                </c:pt>
                <c:pt idx="86">
                  <c:v>6.0313630880579021</c:v>
                </c:pt>
                <c:pt idx="87">
                  <c:v>3.7692307692307692</c:v>
                </c:pt>
                <c:pt idx="88">
                  <c:v>3.4042553191489362</c:v>
                </c:pt>
                <c:pt idx="89">
                  <c:v>4.2789915966386554</c:v>
                </c:pt>
                <c:pt idx="90">
                  <c:v>3.397260273972603</c:v>
                </c:pt>
                <c:pt idx="91">
                  <c:v>5.6976744186046515</c:v>
                </c:pt>
                <c:pt idx="92">
                  <c:v>4.2439862542955327</c:v>
                </c:pt>
                <c:pt idx="93">
                  <c:v>4.7831325301204819</c:v>
                </c:pt>
                <c:pt idx="94">
                  <c:v>6.1445783132530112</c:v>
                </c:pt>
                <c:pt idx="95">
                  <c:v>4.7126436781609202</c:v>
                </c:pt>
                <c:pt idx="96">
                  <c:v>4.8139534883720927</c:v>
                </c:pt>
                <c:pt idx="97">
                  <c:v>4.7261904761904763</c:v>
                </c:pt>
                <c:pt idx="98">
                  <c:v>4.7477064220183482</c:v>
                </c:pt>
                <c:pt idx="99">
                  <c:v>3.3333333333333335</c:v>
                </c:pt>
                <c:pt idx="100">
                  <c:v>4</c:v>
                </c:pt>
                <c:pt idx="101">
                  <c:v>3.7303664921465969</c:v>
                </c:pt>
                <c:pt idx="102">
                  <c:v>4.8235294117647056</c:v>
                </c:pt>
                <c:pt idx="105">
                  <c:v>4.1206030150753774</c:v>
                </c:pt>
                <c:pt idx="107">
                  <c:v>3.9384615384615387</c:v>
                </c:pt>
                <c:pt idx="108">
                  <c:v>5.1764705882352944</c:v>
                </c:pt>
                <c:pt idx="109">
                  <c:v>4.2789915966386554</c:v>
                </c:pt>
                <c:pt idx="110">
                  <c:v>4.3989071038251364</c:v>
                </c:pt>
                <c:pt idx="111">
                  <c:v>4.488888888888888</c:v>
                </c:pt>
                <c:pt idx="112">
                  <c:v>4.5017584994138335</c:v>
                </c:pt>
                <c:pt idx="113">
                  <c:v>4.2433333333333332</c:v>
                </c:pt>
                <c:pt idx="114">
                  <c:v>5.1764705882352944</c:v>
                </c:pt>
                <c:pt idx="115">
                  <c:v>4.191235059760956</c:v>
                </c:pt>
                <c:pt idx="116">
                  <c:v>3.84</c:v>
                </c:pt>
                <c:pt idx="117">
                  <c:v>4</c:v>
                </c:pt>
                <c:pt idx="118">
                  <c:v>3.7281553398058249</c:v>
                </c:pt>
                <c:pt idx="119">
                  <c:v>3.5011990407673861</c:v>
                </c:pt>
                <c:pt idx="120">
                  <c:v>4.3802816901408459</c:v>
                </c:pt>
                <c:pt idx="121">
                  <c:v>3.2058823529411766</c:v>
                </c:pt>
                <c:pt idx="122">
                  <c:v>4.056338028169014</c:v>
                </c:pt>
                <c:pt idx="123">
                  <c:v>4.1333333333333337</c:v>
                </c:pt>
                <c:pt idx="124">
                  <c:v>4.7058823529411766</c:v>
                </c:pt>
                <c:pt idx="125">
                  <c:v>4.436619718309859</c:v>
                </c:pt>
                <c:pt idx="126">
                  <c:v>3.5616438356164384</c:v>
                </c:pt>
                <c:pt idx="128">
                  <c:v>4</c:v>
                </c:pt>
                <c:pt idx="130">
                  <c:v>3.75</c:v>
                </c:pt>
                <c:pt idx="131">
                  <c:v>4.3835616438356162</c:v>
                </c:pt>
                <c:pt idx="132">
                  <c:v>4.075949367088608</c:v>
                </c:pt>
                <c:pt idx="133">
                  <c:v>4.1176470588235299</c:v>
                </c:pt>
                <c:pt idx="134">
                  <c:v>4.5714285714285721</c:v>
                </c:pt>
                <c:pt idx="135">
                  <c:v>4.5714285714285721</c:v>
                </c:pt>
                <c:pt idx="136">
                  <c:v>4.2368421052631584</c:v>
                </c:pt>
                <c:pt idx="137">
                  <c:v>4.1142857142857148</c:v>
                </c:pt>
                <c:pt idx="138">
                  <c:v>6</c:v>
                </c:pt>
                <c:pt idx="139">
                  <c:v>4.1333333333333337</c:v>
                </c:pt>
                <c:pt idx="141">
                  <c:v>4.2021276595744679</c:v>
                </c:pt>
              </c:numCache>
            </c:numRef>
          </c:xVal>
          <c:yVal>
            <c:numRef>
              <c:f>Cruise!$AD$104:$AD$342</c:f>
              <c:numCache>
                <c:formatCode>General</c:formatCode>
                <c:ptCount val="239"/>
                <c:pt idx="0">
                  <c:v>0.19177383773299378</c:v>
                </c:pt>
                <c:pt idx="1">
                  <c:v>0.19417334453130139</c:v>
                </c:pt>
                <c:pt idx="2">
                  <c:v>0.20889936915619484</c:v>
                </c:pt>
                <c:pt idx="3">
                  <c:v>0.23623579218741944</c:v>
                </c:pt>
                <c:pt idx="4">
                  <c:v>0.19417334453130139</c:v>
                </c:pt>
                <c:pt idx="5">
                  <c:v>0.32051220967124039</c:v>
                </c:pt>
                <c:pt idx="6">
                  <c:v>0.19374134089527265</c:v>
                </c:pt>
                <c:pt idx="7">
                  <c:v>0.21871001730863635</c:v>
                </c:pt>
                <c:pt idx="8">
                  <c:v>0.21118308953121082</c:v>
                </c:pt>
                <c:pt idx="9">
                  <c:v>0.21026029149149769</c:v>
                </c:pt>
                <c:pt idx="10">
                  <c:v>0.20158385818888308</c:v>
                </c:pt>
                <c:pt idx="11">
                  <c:v>0.19823530390386421</c:v>
                </c:pt>
                <c:pt idx="12">
                  <c:v>0.21026029149149769</c:v>
                </c:pt>
                <c:pt idx="13">
                  <c:v>0.25287444250112412</c:v>
                </c:pt>
                <c:pt idx="14">
                  <c:v>0.21265105728338976</c:v>
                </c:pt>
                <c:pt idx="15">
                  <c:v>0.20158385818888308</c:v>
                </c:pt>
                <c:pt idx="16">
                  <c:v>0.21027866100893008</c:v>
                </c:pt>
                <c:pt idx="17">
                  <c:v>0.21026029149149769</c:v>
                </c:pt>
                <c:pt idx="18">
                  <c:v>0.29250652558915807</c:v>
                </c:pt>
                <c:pt idx="19">
                  <c:v>0.21160865893867289</c:v>
                </c:pt>
                <c:pt idx="20">
                  <c:v>0.22408168608878659</c:v>
                </c:pt>
                <c:pt idx="21">
                  <c:v>0.21634866619748164</c:v>
                </c:pt>
                <c:pt idx="22">
                  <c:v>0.15284688310606867</c:v>
                </c:pt>
                <c:pt idx="23">
                  <c:v>0.22105045954436184</c:v>
                </c:pt>
                <c:pt idx="24">
                  <c:v>0.30210426699248694</c:v>
                </c:pt>
                <c:pt idx="25">
                  <c:v>0.23026089535871025</c:v>
                </c:pt>
                <c:pt idx="26">
                  <c:v>0.28422827486275404</c:v>
                </c:pt>
                <c:pt idx="27">
                  <c:v>0.26064841059555832</c:v>
                </c:pt>
                <c:pt idx="28">
                  <c:v>0.25430636697179176</c:v>
                </c:pt>
                <c:pt idx="29">
                  <c:v>0.19615301580768041</c:v>
                </c:pt>
                <c:pt idx="30">
                  <c:v>0.22441238602058289</c:v>
                </c:pt>
                <c:pt idx="31">
                  <c:v>0.22441238602058289</c:v>
                </c:pt>
                <c:pt idx="32">
                  <c:v>0.35280601553309021</c:v>
                </c:pt>
                <c:pt idx="33">
                  <c:v>0.24045020189091543</c:v>
                </c:pt>
                <c:pt idx="34">
                  <c:v>0.22880896351254673</c:v>
                </c:pt>
                <c:pt idx="35">
                  <c:v>0.2347660691259891</c:v>
                </c:pt>
                <c:pt idx="36">
                  <c:v>0.22745114832108235</c:v>
                </c:pt>
                <c:pt idx="37">
                  <c:v>0.22745114832108235</c:v>
                </c:pt>
                <c:pt idx="38">
                  <c:v>0.22251857675138123</c:v>
                </c:pt>
                <c:pt idx="39">
                  <c:v>0.21236602940976612</c:v>
                </c:pt>
                <c:pt idx="40">
                  <c:v>0.20158385818888308</c:v>
                </c:pt>
                <c:pt idx="41">
                  <c:v>0.1950377506305227</c:v>
                </c:pt>
                <c:pt idx="42">
                  <c:v>0.1950377506305227</c:v>
                </c:pt>
                <c:pt idx="43">
                  <c:v>0.18354049686466092</c:v>
                </c:pt>
                <c:pt idx="44">
                  <c:v>0.26964154298854281</c:v>
                </c:pt>
                <c:pt idx="45">
                  <c:v>0.20638347386004696</c:v>
                </c:pt>
                <c:pt idx="46">
                  <c:v>0.2070134295972465</c:v>
                </c:pt>
                <c:pt idx="47">
                  <c:v>0.27628150120582423</c:v>
                </c:pt>
                <c:pt idx="48">
                  <c:v>0.22004066884452522</c:v>
                </c:pt>
                <c:pt idx="49">
                  <c:v>0.30596518104177289</c:v>
                </c:pt>
                <c:pt idx="50">
                  <c:v>0.26207945569000185</c:v>
                </c:pt>
                <c:pt idx="51">
                  <c:v>0.27755293682764109</c:v>
                </c:pt>
                <c:pt idx="52">
                  <c:v>0.19177383773299378</c:v>
                </c:pt>
                <c:pt idx="53">
                  <c:v>0.2680525092545481</c:v>
                </c:pt>
                <c:pt idx="54">
                  <c:v>0.24693793032656736</c:v>
                </c:pt>
                <c:pt idx="55">
                  <c:v>0.18830960616700107</c:v>
                </c:pt>
                <c:pt idx="56">
                  <c:v>0.18992654471865639</c:v>
                </c:pt>
                <c:pt idx="57">
                  <c:v>0.20414234682814006</c:v>
                </c:pt>
                <c:pt idx="58">
                  <c:v>0.25930194304761078</c:v>
                </c:pt>
                <c:pt idx="59">
                  <c:v>0.19177383773299378</c:v>
                </c:pt>
                <c:pt idx="60">
                  <c:v>0.34334508708706568</c:v>
                </c:pt>
                <c:pt idx="61">
                  <c:v>0.20378510156868146</c:v>
                </c:pt>
                <c:pt idx="62">
                  <c:v>0.26860991352173547</c:v>
                </c:pt>
                <c:pt idx="63">
                  <c:v>0.13957229556066417</c:v>
                </c:pt>
                <c:pt idx="64">
                  <c:v>0.22912090498461177</c:v>
                </c:pt>
                <c:pt idx="65">
                  <c:v>0.17155297678643538</c:v>
                </c:pt>
                <c:pt idx="66">
                  <c:v>0.21948824590859134</c:v>
                </c:pt>
                <c:pt idx="67">
                  <c:v>0.22885662708217377</c:v>
                </c:pt>
                <c:pt idx="68">
                  <c:v>0.19177383773299378</c:v>
                </c:pt>
                <c:pt idx="69">
                  <c:v>0.31213189735187785</c:v>
                </c:pt>
                <c:pt idx="70">
                  <c:v>0.19860353294081731</c:v>
                </c:pt>
                <c:pt idx="71">
                  <c:v>0.21460731965100405</c:v>
                </c:pt>
                <c:pt idx="72">
                  <c:v>0.20636146018015603</c:v>
                </c:pt>
                <c:pt idx="73">
                  <c:v>0.22245315897053158</c:v>
                </c:pt>
                <c:pt idx="74">
                  <c:v>0.20425716095272381</c:v>
                </c:pt>
                <c:pt idx="75">
                  <c:v>0.19953031881883129</c:v>
                </c:pt>
                <c:pt idx="76">
                  <c:v>0.17840568198667509</c:v>
                </c:pt>
                <c:pt idx="77">
                  <c:v>0.23273689015284979</c:v>
                </c:pt>
                <c:pt idx="78">
                  <c:v>0.25429811460316359</c:v>
                </c:pt>
                <c:pt idx="79">
                  <c:v>0.23602404906086127</c:v>
                </c:pt>
                <c:pt idx="80">
                  <c:v>0.20200396162408996</c:v>
                </c:pt>
                <c:pt idx="81">
                  <c:v>0.44090387965346683</c:v>
                </c:pt>
                <c:pt idx="82">
                  <c:v>0.18811898865214588</c:v>
                </c:pt>
                <c:pt idx="83">
                  <c:v>0.21230571576456461</c:v>
                </c:pt>
                <c:pt idx="84">
                  <c:v>0.2554443112278022</c:v>
                </c:pt>
                <c:pt idx="85">
                  <c:v>0.18811898865214588</c:v>
                </c:pt>
                <c:pt idx="86">
                  <c:v>0.31843057974972605</c:v>
                </c:pt>
                <c:pt idx="87">
                  <c:v>0.22510676961484705</c:v>
                </c:pt>
                <c:pt idx="88">
                  <c:v>0.27031148265557203</c:v>
                </c:pt>
                <c:pt idx="89">
                  <c:v>0.21871001730863635</c:v>
                </c:pt>
                <c:pt idx="90">
                  <c:v>0.25024269799206761</c:v>
                </c:pt>
                <c:pt idx="91">
                  <c:v>0.20425716095272381</c:v>
                </c:pt>
                <c:pt idx="92">
                  <c:v>0.27626833099652109</c:v>
                </c:pt>
                <c:pt idx="93">
                  <c:v>0.19525466199471175</c:v>
                </c:pt>
                <c:pt idx="94">
                  <c:v>0.33826509272371436</c:v>
                </c:pt>
                <c:pt idx="95">
                  <c:v>0.19827145294295823</c:v>
                </c:pt>
                <c:pt idx="96">
                  <c:v>0.20020261366122599</c:v>
                </c:pt>
                <c:pt idx="97">
                  <c:v>0.19474442682016732</c:v>
                </c:pt>
                <c:pt idx="98">
                  <c:v>0.20280355631392272</c:v>
                </c:pt>
                <c:pt idx="99">
                  <c:v>0.20536204453804524</c:v>
                </c:pt>
                <c:pt idx="100">
                  <c:v>0.22062168104431007</c:v>
                </c:pt>
                <c:pt idx="101">
                  <c:v>0.20969766171906395</c:v>
                </c:pt>
                <c:pt idx="102">
                  <c:v>0.19284475640433277</c:v>
                </c:pt>
                <c:pt idx="103">
                  <c:v>0.20688143784259436</c:v>
                </c:pt>
                <c:pt idx="104">
                  <c:v>0.20688143784259436</c:v>
                </c:pt>
                <c:pt idx="105">
                  <c:v>0.26402628468667921</c:v>
                </c:pt>
                <c:pt idx="106">
                  <c:v>0.17828031740352601</c:v>
                </c:pt>
                <c:pt idx="107">
                  <c:v>0.22072750949912298</c:v>
                </c:pt>
                <c:pt idx="108">
                  <c:v>0.18357293635931402</c:v>
                </c:pt>
                <c:pt idx="109">
                  <c:v>0.21871001730863635</c:v>
                </c:pt>
                <c:pt idx="110">
                  <c:v>0.20636146018015603</c:v>
                </c:pt>
                <c:pt idx="111">
                  <c:v>0.29843797913428499</c:v>
                </c:pt>
                <c:pt idx="112">
                  <c:v>0.19797081372082884</c:v>
                </c:pt>
                <c:pt idx="113">
                  <c:v>0.21871001730863635</c:v>
                </c:pt>
                <c:pt idx="114">
                  <c:v>0.3837284866971315</c:v>
                </c:pt>
                <c:pt idx="115">
                  <c:v>0.23021615409813859</c:v>
                </c:pt>
                <c:pt idx="116">
                  <c:v>0.26731428891763087</c:v>
                </c:pt>
                <c:pt idx="117">
                  <c:v>0.25557922152530033</c:v>
                </c:pt>
                <c:pt idx="118">
                  <c:v>0.26820981668208232</c:v>
                </c:pt>
                <c:pt idx="119">
                  <c:v>0.22354354432579934</c:v>
                </c:pt>
                <c:pt idx="120">
                  <c:v>0.24105710171063577</c:v>
                </c:pt>
                <c:pt idx="121">
                  <c:v>0.244050979608569</c:v>
                </c:pt>
                <c:pt idx="122">
                  <c:v>0.22884632922905496</c:v>
                </c:pt>
                <c:pt idx="123">
                  <c:v>0.22495755927677683</c:v>
                </c:pt>
                <c:pt idx="124">
                  <c:v>0.24728526139792004</c:v>
                </c:pt>
                <c:pt idx="125">
                  <c:v>0.24092099310119752</c:v>
                </c:pt>
                <c:pt idx="126">
                  <c:v>0.22021739208620469</c:v>
                </c:pt>
                <c:pt idx="127">
                  <c:v>0.2370300780493943</c:v>
                </c:pt>
                <c:pt idx="128">
                  <c:v>0.22072750949912298</c:v>
                </c:pt>
                <c:pt idx="129">
                  <c:v>0.18289933907878095</c:v>
                </c:pt>
                <c:pt idx="130">
                  <c:v>0.24985164020118894</c:v>
                </c:pt>
                <c:pt idx="131">
                  <c:v>0.241368333750485</c:v>
                </c:pt>
                <c:pt idx="132">
                  <c:v>0.20946031284649047</c:v>
                </c:pt>
                <c:pt idx="133">
                  <c:v>0.22299144062716381</c:v>
                </c:pt>
                <c:pt idx="134">
                  <c:v>0.21748186621427212</c:v>
                </c:pt>
                <c:pt idx="135">
                  <c:v>0.21757723208871471</c:v>
                </c:pt>
                <c:pt idx="136">
                  <c:v>0.21530595233673852</c:v>
                </c:pt>
                <c:pt idx="137">
                  <c:v>0.2275125850141097</c:v>
                </c:pt>
                <c:pt idx="138">
                  <c:v>0.22004066884452522</c:v>
                </c:pt>
                <c:pt idx="139">
                  <c:v>0.22495755927677683</c:v>
                </c:pt>
                <c:pt idx="140">
                  <c:v>0.35280601553309021</c:v>
                </c:pt>
                <c:pt idx="141">
                  <c:v>0.18577502800100948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94D-4277-91FA-FB90C6C6B61A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76200">
                <a:solidFill>
                  <a:srgbClr val="FF0000"/>
                </a:solidFill>
              </a:ln>
              <a:effectLst/>
            </c:spPr>
          </c:marker>
          <c:xVal>
            <c:numRef>
              <c:f>Cruise!$B$11</c:f>
              <c:numCache>
                <c:formatCode>General</c:formatCode>
                <c:ptCount val="1"/>
                <c:pt idx="0">
                  <c:v>4.625</c:v>
                </c:pt>
              </c:numCache>
            </c:numRef>
          </c:xVal>
          <c:yVal>
            <c:numRef>
              <c:f>Cruise!$B$14</c:f>
              <c:numCache>
                <c:formatCode>General</c:formatCode>
                <c:ptCount val="1"/>
                <c:pt idx="0">
                  <c:v>0.1766840994720856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CAD-4B14-8059-FF7494D4B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5669952"/>
        <c:axId val="635667000"/>
      </c:scatterChart>
      <c:valAx>
        <c:axId val="635669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B/T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667000"/>
        <c:crosses val="autoZero"/>
        <c:crossBetween val="midCat"/>
      </c:valAx>
      <c:valAx>
        <c:axId val="635667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Fn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669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0"/>
          </c:trendline>
          <c:xVal>
            <c:numRef>
              <c:f>Cruise!$I$104:$I$342</c:f>
              <c:numCache>
                <c:formatCode>General</c:formatCode>
                <c:ptCount val="239"/>
                <c:pt idx="0">
                  <c:v>339</c:v>
                </c:pt>
                <c:pt idx="1">
                  <c:v>362</c:v>
                </c:pt>
                <c:pt idx="2">
                  <c:v>310</c:v>
                </c:pt>
                <c:pt idx="3">
                  <c:v>253.3</c:v>
                </c:pt>
                <c:pt idx="4">
                  <c:v>362</c:v>
                </c:pt>
                <c:pt idx="5">
                  <c:v>362</c:v>
                </c:pt>
                <c:pt idx="6">
                  <c:v>348</c:v>
                </c:pt>
                <c:pt idx="7">
                  <c:v>181</c:v>
                </c:pt>
                <c:pt idx="8">
                  <c:v>290</c:v>
                </c:pt>
                <c:pt idx="9">
                  <c:v>306</c:v>
                </c:pt>
                <c:pt idx="10">
                  <c:v>290</c:v>
                </c:pt>
                <c:pt idx="11">
                  <c:v>272</c:v>
                </c:pt>
                <c:pt idx="12">
                  <c:v>306</c:v>
                </c:pt>
                <c:pt idx="13">
                  <c:v>308</c:v>
                </c:pt>
                <c:pt idx="14">
                  <c:v>260.60000000000002</c:v>
                </c:pt>
                <c:pt idx="15">
                  <c:v>290</c:v>
                </c:pt>
                <c:pt idx="16">
                  <c:v>292.5</c:v>
                </c:pt>
                <c:pt idx="17">
                  <c:v>306</c:v>
                </c:pt>
                <c:pt idx="18">
                  <c:v>305</c:v>
                </c:pt>
                <c:pt idx="19">
                  <c:v>324</c:v>
                </c:pt>
                <c:pt idx="20">
                  <c:v>246</c:v>
                </c:pt>
                <c:pt idx="21">
                  <c:v>263.89999999999998</c:v>
                </c:pt>
                <c:pt idx="22">
                  <c:v>319</c:v>
                </c:pt>
                <c:pt idx="23">
                  <c:v>315</c:v>
                </c:pt>
                <c:pt idx="24">
                  <c:v>319</c:v>
                </c:pt>
                <c:pt idx="25">
                  <c:v>315</c:v>
                </c:pt>
                <c:pt idx="26">
                  <c:v>319</c:v>
                </c:pt>
                <c:pt idx="27">
                  <c:v>88.5</c:v>
                </c:pt>
                <c:pt idx="28">
                  <c:v>191</c:v>
                </c:pt>
                <c:pt idx="29">
                  <c:v>100.01</c:v>
                </c:pt>
                <c:pt idx="30">
                  <c:v>104</c:v>
                </c:pt>
                <c:pt idx="31">
                  <c:v>104</c:v>
                </c:pt>
                <c:pt idx="32">
                  <c:v>90.220800000000011</c:v>
                </c:pt>
                <c:pt idx="33">
                  <c:v>223.7</c:v>
                </c:pt>
                <c:pt idx="34">
                  <c:v>294</c:v>
                </c:pt>
                <c:pt idx="35">
                  <c:v>91</c:v>
                </c:pt>
                <c:pt idx="36">
                  <c:v>250</c:v>
                </c:pt>
                <c:pt idx="37">
                  <c:v>250</c:v>
                </c:pt>
                <c:pt idx="38">
                  <c:v>238</c:v>
                </c:pt>
                <c:pt idx="39">
                  <c:v>261.3</c:v>
                </c:pt>
                <c:pt idx="40">
                  <c:v>290</c:v>
                </c:pt>
                <c:pt idx="41">
                  <c:v>340</c:v>
                </c:pt>
                <c:pt idx="42">
                  <c:v>340</c:v>
                </c:pt>
                <c:pt idx="43">
                  <c:v>340</c:v>
                </c:pt>
                <c:pt idx="44">
                  <c:v>88.3</c:v>
                </c:pt>
                <c:pt idx="45">
                  <c:v>290</c:v>
                </c:pt>
                <c:pt idx="46">
                  <c:v>301.8</c:v>
                </c:pt>
                <c:pt idx="47">
                  <c:v>218.8</c:v>
                </c:pt>
                <c:pt idx="48">
                  <c:v>310</c:v>
                </c:pt>
                <c:pt idx="49">
                  <c:v>311</c:v>
                </c:pt>
                <c:pt idx="50">
                  <c:v>188.3</c:v>
                </c:pt>
                <c:pt idx="51">
                  <c:v>216.8</c:v>
                </c:pt>
                <c:pt idx="52">
                  <c:v>339</c:v>
                </c:pt>
                <c:pt idx="53">
                  <c:v>89.35</c:v>
                </c:pt>
                <c:pt idx="54">
                  <c:v>212.1</c:v>
                </c:pt>
                <c:pt idx="55">
                  <c:v>335.3</c:v>
                </c:pt>
                <c:pt idx="56">
                  <c:v>362.12</c:v>
                </c:pt>
                <c:pt idx="57">
                  <c:v>333.33</c:v>
                </c:pt>
                <c:pt idx="58">
                  <c:v>108.2</c:v>
                </c:pt>
                <c:pt idx="59">
                  <c:v>339</c:v>
                </c:pt>
                <c:pt idx="60">
                  <c:v>339</c:v>
                </c:pt>
                <c:pt idx="61">
                  <c:v>208.48320000000001</c:v>
                </c:pt>
                <c:pt idx="62">
                  <c:v>171.2</c:v>
                </c:pt>
                <c:pt idx="63">
                  <c:v>90</c:v>
                </c:pt>
                <c:pt idx="64">
                  <c:v>293.2</c:v>
                </c:pt>
                <c:pt idx="65">
                  <c:v>297</c:v>
                </c:pt>
                <c:pt idx="66">
                  <c:v>142</c:v>
                </c:pt>
                <c:pt idx="67">
                  <c:v>100</c:v>
                </c:pt>
                <c:pt idx="68">
                  <c:v>339</c:v>
                </c:pt>
                <c:pt idx="69">
                  <c:v>339</c:v>
                </c:pt>
                <c:pt idx="70">
                  <c:v>330</c:v>
                </c:pt>
                <c:pt idx="71">
                  <c:v>268.2</c:v>
                </c:pt>
                <c:pt idx="72">
                  <c:v>251</c:v>
                </c:pt>
                <c:pt idx="73">
                  <c:v>216</c:v>
                </c:pt>
                <c:pt idx="74">
                  <c:v>310</c:v>
                </c:pt>
                <c:pt idx="75">
                  <c:v>296</c:v>
                </c:pt>
                <c:pt idx="76">
                  <c:v>315.8</c:v>
                </c:pt>
                <c:pt idx="77">
                  <c:v>111</c:v>
                </c:pt>
                <c:pt idx="78">
                  <c:v>200</c:v>
                </c:pt>
                <c:pt idx="79">
                  <c:v>122.8</c:v>
                </c:pt>
                <c:pt idx="80">
                  <c:v>333</c:v>
                </c:pt>
                <c:pt idx="81">
                  <c:v>333</c:v>
                </c:pt>
                <c:pt idx="82">
                  <c:v>333</c:v>
                </c:pt>
                <c:pt idx="83">
                  <c:v>333</c:v>
                </c:pt>
                <c:pt idx="84">
                  <c:v>333</c:v>
                </c:pt>
                <c:pt idx="85">
                  <c:v>333</c:v>
                </c:pt>
                <c:pt idx="86">
                  <c:v>333</c:v>
                </c:pt>
                <c:pt idx="87">
                  <c:v>135</c:v>
                </c:pt>
                <c:pt idx="88">
                  <c:v>112</c:v>
                </c:pt>
                <c:pt idx="89">
                  <c:v>181</c:v>
                </c:pt>
                <c:pt idx="90">
                  <c:v>170.69</c:v>
                </c:pt>
                <c:pt idx="91">
                  <c:v>310</c:v>
                </c:pt>
                <c:pt idx="92">
                  <c:v>154.4</c:v>
                </c:pt>
                <c:pt idx="93">
                  <c:v>324</c:v>
                </c:pt>
                <c:pt idx="94">
                  <c:v>325</c:v>
                </c:pt>
                <c:pt idx="95">
                  <c:v>329</c:v>
                </c:pt>
                <c:pt idx="96">
                  <c:v>325.89999999999998</c:v>
                </c:pt>
                <c:pt idx="97">
                  <c:v>325.7</c:v>
                </c:pt>
                <c:pt idx="98">
                  <c:v>333.5</c:v>
                </c:pt>
                <c:pt idx="99">
                  <c:v>124.19</c:v>
                </c:pt>
                <c:pt idx="100">
                  <c:v>198.19</c:v>
                </c:pt>
                <c:pt idx="101">
                  <c:v>102.7</c:v>
                </c:pt>
                <c:pt idx="102">
                  <c:v>347.77680000000004</c:v>
                </c:pt>
                <c:pt idx="103">
                  <c:v>294</c:v>
                </c:pt>
                <c:pt idx="104">
                  <c:v>294</c:v>
                </c:pt>
                <c:pt idx="105">
                  <c:v>345</c:v>
                </c:pt>
                <c:pt idx="106">
                  <c:v>294</c:v>
                </c:pt>
                <c:pt idx="107">
                  <c:v>198</c:v>
                </c:pt>
                <c:pt idx="108">
                  <c:v>330</c:v>
                </c:pt>
                <c:pt idx="109">
                  <c:v>181</c:v>
                </c:pt>
                <c:pt idx="110">
                  <c:v>251</c:v>
                </c:pt>
                <c:pt idx="111">
                  <c:v>136.12</c:v>
                </c:pt>
                <c:pt idx="112">
                  <c:v>330</c:v>
                </c:pt>
                <c:pt idx="113">
                  <c:v>181</c:v>
                </c:pt>
                <c:pt idx="114">
                  <c:v>329</c:v>
                </c:pt>
                <c:pt idx="115">
                  <c:v>154.41</c:v>
                </c:pt>
                <c:pt idx="116">
                  <c:v>135</c:v>
                </c:pt>
                <c:pt idx="117">
                  <c:v>198</c:v>
                </c:pt>
                <c:pt idx="118">
                  <c:v>134.1</c:v>
                </c:pt>
                <c:pt idx="119">
                  <c:v>104.81</c:v>
                </c:pt>
                <c:pt idx="120">
                  <c:v>224</c:v>
                </c:pt>
                <c:pt idx="121">
                  <c:v>170.6</c:v>
                </c:pt>
                <c:pt idx="122">
                  <c:v>204.1</c:v>
                </c:pt>
                <c:pt idx="123">
                  <c:v>232.86720000000003</c:v>
                </c:pt>
                <c:pt idx="124">
                  <c:v>202</c:v>
                </c:pt>
                <c:pt idx="125">
                  <c:v>203.03</c:v>
                </c:pt>
                <c:pt idx="126">
                  <c:v>108</c:v>
                </c:pt>
                <c:pt idx="127">
                  <c:v>196</c:v>
                </c:pt>
                <c:pt idx="128">
                  <c:v>198</c:v>
                </c:pt>
                <c:pt idx="129">
                  <c:v>329.18400000000003</c:v>
                </c:pt>
                <c:pt idx="130">
                  <c:v>90</c:v>
                </c:pt>
                <c:pt idx="131">
                  <c:v>264.2</c:v>
                </c:pt>
                <c:pt idx="132">
                  <c:v>268.60000000000002</c:v>
                </c:pt>
                <c:pt idx="133">
                  <c:v>194</c:v>
                </c:pt>
                <c:pt idx="134">
                  <c:v>228.2</c:v>
                </c:pt>
                <c:pt idx="135">
                  <c:v>228</c:v>
                </c:pt>
                <c:pt idx="136">
                  <c:v>279</c:v>
                </c:pt>
                <c:pt idx="137">
                  <c:v>206.5</c:v>
                </c:pt>
                <c:pt idx="138">
                  <c:v>310</c:v>
                </c:pt>
                <c:pt idx="139">
                  <c:v>232.86720000000003</c:v>
                </c:pt>
                <c:pt idx="140">
                  <c:v>90.220800000000011</c:v>
                </c:pt>
                <c:pt idx="141">
                  <c:v>186.02</c:v>
                </c:pt>
              </c:numCache>
            </c:numRef>
          </c:xVal>
          <c:yVal>
            <c:numRef>
              <c:f>Cruise!$J$104:$J$342</c:f>
              <c:numCache>
                <c:formatCode>General</c:formatCode>
                <c:ptCount val="239"/>
                <c:pt idx="1">
                  <c:v>22.5</c:v>
                </c:pt>
                <c:pt idx="2">
                  <c:v>11.7</c:v>
                </c:pt>
                <c:pt idx="4">
                  <c:v>22.555200000000003</c:v>
                </c:pt>
                <c:pt idx="5">
                  <c:v>22.5</c:v>
                </c:pt>
                <c:pt idx="28">
                  <c:v>14.65</c:v>
                </c:pt>
                <c:pt idx="48">
                  <c:v>11.7</c:v>
                </c:pt>
                <c:pt idx="49">
                  <c:v>11.7</c:v>
                </c:pt>
                <c:pt idx="54">
                  <c:v>15.4</c:v>
                </c:pt>
                <c:pt idx="73">
                  <c:v>7</c:v>
                </c:pt>
                <c:pt idx="78">
                  <c:v>15</c:v>
                </c:pt>
                <c:pt idx="89">
                  <c:v>8.4</c:v>
                </c:pt>
                <c:pt idx="95">
                  <c:v>21.640800000000002</c:v>
                </c:pt>
                <c:pt idx="103">
                  <c:v>8</c:v>
                </c:pt>
                <c:pt idx="104">
                  <c:v>8</c:v>
                </c:pt>
                <c:pt idx="106">
                  <c:v>7.9</c:v>
                </c:pt>
                <c:pt idx="109">
                  <c:v>5.95</c:v>
                </c:pt>
                <c:pt idx="110" formatCode="0.00">
                  <c:v>2.2311360000000002</c:v>
                </c:pt>
                <c:pt idx="117">
                  <c:v>15.2</c:v>
                </c:pt>
                <c:pt idx="139" formatCode="0.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9E-4DDA-8C02-DA509CF557CD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76200">
                <a:solidFill>
                  <a:srgbClr val="FF0000"/>
                </a:solidFill>
              </a:ln>
              <a:effectLst/>
            </c:spPr>
          </c:marker>
          <c:xVal>
            <c:numRef>
              <c:f>Cruise!$B$2</c:f>
              <c:numCache>
                <c:formatCode>General</c:formatCode>
                <c:ptCount val="1"/>
                <c:pt idx="0">
                  <c:v>280</c:v>
                </c:pt>
              </c:numCache>
            </c:numRef>
          </c:xVal>
          <c:yVal>
            <c:numRef>
              <c:f>Cruise!$B$12</c:f>
              <c:numCache>
                <c:formatCode>General</c:formatCode>
                <c:ptCount val="1"/>
                <c:pt idx="0">
                  <c:v>17.5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9D9-41FC-A164-4F4646242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4933224"/>
        <c:axId val="534938472"/>
      </c:scatterChart>
      <c:valAx>
        <c:axId val="534933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938472"/>
        <c:crosses val="autoZero"/>
        <c:crossBetween val="midCat"/>
      </c:valAx>
      <c:valAx>
        <c:axId val="534938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L/D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933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0"/>
          </c:trendline>
          <c:xVal>
            <c:numRef>
              <c:f>Cruise!$O$104:$O$342</c:f>
              <c:numCache>
                <c:formatCode>General</c:formatCode>
                <c:ptCount val="239"/>
                <c:pt idx="1">
                  <c:v>25000</c:v>
                </c:pt>
                <c:pt idx="2">
                  <c:v>11033</c:v>
                </c:pt>
                <c:pt idx="5">
                  <c:v>19750</c:v>
                </c:pt>
                <c:pt idx="6">
                  <c:v>12000</c:v>
                </c:pt>
                <c:pt idx="7">
                  <c:v>2700</c:v>
                </c:pt>
                <c:pt idx="8">
                  <c:v>11000</c:v>
                </c:pt>
                <c:pt idx="10">
                  <c:v>10000</c:v>
                </c:pt>
                <c:pt idx="11">
                  <c:v>11142</c:v>
                </c:pt>
                <c:pt idx="13">
                  <c:v>13815</c:v>
                </c:pt>
                <c:pt idx="14">
                  <c:v>7200</c:v>
                </c:pt>
                <c:pt idx="15">
                  <c:v>11000</c:v>
                </c:pt>
                <c:pt idx="16">
                  <c:v>7089</c:v>
                </c:pt>
                <c:pt idx="18">
                  <c:v>13800</c:v>
                </c:pt>
                <c:pt idx="19">
                  <c:v>13415</c:v>
                </c:pt>
                <c:pt idx="20">
                  <c:v>7260</c:v>
                </c:pt>
                <c:pt idx="21">
                  <c:v>6500</c:v>
                </c:pt>
                <c:pt idx="22">
                  <c:v>9500</c:v>
                </c:pt>
                <c:pt idx="24">
                  <c:v>9500</c:v>
                </c:pt>
                <c:pt idx="26">
                  <c:v>9500</c:v>
                </c:pt>
                <c:pt idx="27">
                  <c:v>340</c:v>
                </c:pt>
                <c:pt idx="28">
                  <c:v>4228</c:v>
                </c:pt>
                <c:pt idx="29">
                  <c:v>1465</c:v>
                </c:pt>
                <c:pt idx="30">
                  <c:v>938</c:v>
                </c:pt>
                <c:pt idx="31">
                  <c:v>938</c:v>
                </c:pt>
                <c:pt idx="32">
                  <c:v>2177</c:v>
                </c:pt>
                <c:pt idx="33">
                  <c:v>6795</c:v>
                </c:pt>
                <c:pt idx="34">
                  <c:v>8015</c:v>
                </c:pt>
                <c:pt idx="35">
                  <c:v>645</c:v>
                </c:pt>
                <c:pt idx="36">
                  <c:v>10810</c:v>
                </c:pt>
                <c:pt idx="37">
                  <c:v>10810</c:v>
                </c:pt>
                <c:pt idx="38">
                  <c:v>4500</c:v>
                </c:pt>
                <c:pt idx="39">
                  <c:v>8293</c:v>
                </c:pt>
                <c:pt idx="40">
                  <c:v>14274</c:v>
                </c:pt>
                <c:pt idx="43">
                  <c:v>9500</c:v>
                </c:pt>
                <c:pt idx="44">
                  <c:v>796</c:v>
                </c:pt>
                <c:pt idx="45">
                  <c:v>8100</c:v>
                </c:pt>
                <c:pt idx="46">
                  <c:v>7200</c:v>
                </c:pt>
                <c:pt idx="47">
                  <c:v>9300</c:v>
                </c:pt>
                <c:pt idx="49">
                  <c:v>10937</c:v>
                </c:pt>
                <c:pt idx="50">
                  <c:v>8681</c:v>
                </c:pt>
                <c:pt idx="51">
                  <c:v>9300</c:v>
                </c:pt>
                <c:pt idx="52">
                  <c:v>10500</c:v>
                </c:pt>
                <c:pt idx="53">
                  <c:v>796</c:v>
                </c:pt>
                <c:pt idx="54">
                  <c:v>4850</c:v>
                </c:pt>
                <c:pt idx="55">
                  <c:v>10000</c:v>
                </c:pt>
                <c:pt idx="56">
                  <c:v>20236</c:v>
                </c:pt>
                <c:pt idx="57">
                  <c:v>13188</c:v>
                </c:pt>
                <c:pt idx="58">
                  <c:v>680</c:v>
                </c:pt>
                <c:pt idx="60">
                  <c:v>10600</c:v>
                </c:pt>
                <c:pt idx="62">
                  <c:v>3680</c:v>
                </c:pt>
                <c:pt idx="63">
                  <c:v>480</c:v>
                </c:pt>
                <c:pt idx="64">
                  <c:v>11936</c:v>
                </c:pt>
                <c:pt idx="65">
                  <c:v>9480</c:v>
                </c:pt>
                <c:pt idx="66">
                  <c:v>6000</c:v>
                </c:pt>
                <c:pt idx="67">
                  <c:v>1380</c:v>
                </c:pt>
                <c:pt idx="69">
                  <c:v>10600</c:v>
                </c:pt>
                <c:pt idx="70">
                  <c:v>12000</c:v>
                </c:pt>
                <c:pt idx="71">
                  <c:v>6953</c:v>
                </c:pt>
                <c:pt idx="72">
                  <c:v>6000</c:v>
                </c:pt>
                <c:pt idx="73">
                  <c:v>4700</c:v>
                </c:pt>
                <c:pt idx="75">
                  <c:v>7900</c:v>
                </c:pt>
                <c:pt idx="76">
                  <c:v>12200</c:v>
                </c:pt>
                <c:pt idx="77">
                  <c:v>1226</c:v>
                </c:pt>
                <c:pt idx="78">
                  <c:v>2800</c:v>
                </c:pt>
                <c:pt idx="81">
                  <c:v>13188</c:v>
                </c:pt>
                <c:pt idx="84">
                  <c:v>13188</c:v>
                </c:pt>
                <c:pt idx="86">
                  <c:v>13413</c:v>
                </c:pt>
                <c:pt idx="87">
                  <c:v>790</c:v>
                </c:pt>
                <c:pt idx="88">
                  <c:v>1301</c:v>
                </c:pt>
                <c:pt idx="89">
                  <c:v>2948</c:v>
                </c:pt>
                <c:pt idx="90">
                  <c:v>3342</c:v>
                </c:pt>
                <c:pt idx="92">
                  <c:v>2880</c:v>
                </c:pt>
                <c:pt idx="93">
                  <c:v>11000</c:v>
                </c:pt>
                <c:pt idx="94">
                  <c:v>11000</c:v>
                </c:pt>
                <c:pt idx="96">
                  <c:v>11700</c:v>
                </c:pt>
                <c:pt idx="97">
                  <c:v>11110</c:v>
                </c:pt>
                <c:pt idx="98">
                  <c:v>11700</c:v>
                </c:pt>
                <c:pt idx="99">
                  <c:v>1575</c:v>
                </c:pt>
                <c:pt idx="100">
                  <c:v>3000</c:v>
                </c:pt>
                <c:pt idx="101">
                  <c:v>650</c:v>
                </c:pt>
                <c:pt idx="102">
                  <c:v>10500</c:v>
                </c:pt>
                <c:pt idx="106">
                  <c:v>7685</c:v>
                </c:pt>
                <c:pt idx="107">
                  <c:v>3000</c:v>
                </c:pt>
                <c:pt idx="108">
                  <c:v>10900</c:v>
                </c:pt>
                <c:pt idx="109">
                  <c:v>2700</c:v>
                </c:pt>
                <c:pt idx="110">
                  <c:v>7662</c:v>
                </c:pt>
                <c:pt idx="111">
                  <c:v>2300</c:v>
                </c:pt>
                <c:pt idx="113">
                  <c:v>2700</c:v>
                </c:pt>
                <c:pt idx="114">
                  <c:v>10900</c:v>
                </c:pt>
                <c:pt idx="115">
                  <c:v>2635</c:v>
                </c:pt>
                <c:pt idx="116">
                  <c:v>780</c:v>
                </c:pt>
                <c:pt idx="117">
                  <c:v>3000</c:v>
                </c:pt>
                <c:pt idx="118">
                  <c:v>800</c:v>
                </c:pt>
                <c:pt idx="119">
                  <c:v>450</c:v>
                </c:pt>
                <c:pt idx="120">
                  <c:v>6161</c:v>
                </c:pt>
                <c:pt idx="121">
                  <c:v>2581</c:v>
                </c:pt>
                <c:pt idx="122">
                  <c:v>5400</c:v>
                </c:pt>
                <c:pt idx="123">
                  <c:v>2977</c:v>
                </c:pt>
                <c:pt idx="124">
                  <c:v>4650</c:v>
                </c:pt>
                <c:pt idx="125">
                  <c:v>5340</c:v>
                </c:pt>
                <c:pt idx="126">
                  <c:v>635</c:v>
                </c:pt>
                <c:pt idx="127">
                  <c:v>4000</c:v>
                </c:pt>
                <c:pt idx="128">
                  <c:v>3000</c:v>
                </c:pt>
                <c:pt idx="129">
                  <c:v>4000</c:v>
                </c:pt>
                <c:pt idx="130">
                  <c:v>684</c:v>
                </c:pt>
                <c:pt idx="131">
                  <c:v>5200</c:v>
                </c:pt>
                <c:pt idx="132">
                  <c:v>6000</c:v>
                </c:pt>
                <c:pt idx="133">
                  <c:v>4558</c:v>
                </c:pt>
                <c:pt idx="134">
                  <c:v>4826</c:v>
                </c:pt>
                <c:pt idx="135">
                  <c:v>4912</c:v>
                </c:pt>
                <c:pt idx="136">
                  <c:v>6300</c:v>
                </c:pt>
                <c:pt idx="137">
                  <c:v>5400</c:v>
                </c:pt>
                <c:pt idx="138">
                  <c:v>11132</c:v>
                </c:pt>
                <c:pt idx="139">
                  <c:v>2980</c:v>
                </c:pt>
                <c:pt idx="140">
                  <c:v>1790</c:v>
                </c:pt>
                <c:pt idx="141">
                  <c:v>5143</c:v>
                </c:pt>
              </c:numCache>
            </c:numRef>
          </c:xVal>
          <c:yVal>
            <c:numRef>
              <c:f>Cruise!$AX$104:$AX$342</c:f>
              <c:numCache>
                <c:formatCode>General</c:formatCode>
                <c:ptCount val="239"/>
                <c:pt idx="1">
                  <c:v>6.4764755439289763</c:v>
                </c:pt>
                <c:pt idx="2">
                  <c:v>8.2135918245687414</c:v>
                </c:pt>
                <c:pt idx="5">
                  <c:v>4.3883692137290193</c:v>
                </c:pt>
                <c:pt idx="6">
                  <c:v>7.8277195961445374</c:v>
                </c:pt>
                <c:pt idx="7">
                  <c:v>6.8197370244181537</c:v>
                </c:pt>
                <c:pt idx="8">
                  <c:v>5.3418285703462161</c:v>
                </c:pt>
                <c:pt idx="10">
                  <c:v>6.1073721036419064</c:v>
                </c:pt>
                <c:pt idx="11">
                  <c:v>5.1638466508010179</c:v>
                </c:pt>
                <c:pt idx="13">
                  <c:v>4.733062102840373</c:v>
                </c:pt>
                <c:pt idx="14">
                  <c:v>6.2905085367381091</c:v>
                </c:pt>
                <c:pt idx="15">
                  <c:v>5.0974556335509078</c:v>
                </c:pt>
                <c:pt idx="16">
                  <c:v>7.3097390985707538</c:v>
                </c:pt>
                <c:pt idx="18">
                  <c:v>3.9747338833239789</c:v>
                </c:pt>
                <c:pt idx="19">
                  <c:v>5.1491729399710042</c:v>
                </c:pt>
                <c:pt idx="20">
                  <c:v>5.5559641253513918</c:v>
                </c:pt>
                <c:pt idx="21">
                  <c:v>6.9801977551304866</c:v>
                </c:pt>
                <c:pt idx="22">
                  <c:v>9.2250941801364128</c:v>
                </c:pt>
                <c:pt idx="24">
                  <c:v>7.8668393289772656</c:v>
                </c:pt>
                <c:pt idx="26">
                  <c:v>8.160072708919321</c:v>
                </c:pt>
                <c:pt idx="27">
                  <c:v>8.4085926436084417</c:v>
                </c:pt>
                <c:pt idx="28">
                  <c:v>6.7248656835007221</c:v>
                </c:pt>
                <c:pt idx="29">
                  <c:v>3.7911888298822278</c:v>
                </c:pt>
                <c:pt idx="30">
                  <c:v>5.4153001494050956</c:v>
                </c:pt>
                <c:pt idx="31">
                  <c:v>5.4153001494050956</c:v>
                </c:pt>
                <c:pt idx="32">
                  <c:v>2.4305464670043389</c:v>
                </c:pt>
                <c:pt idx="33">
                  <c:v>5.09948151665649</c:v>
                </c:pt>
                <c:pt idx="34">
                  <c:v>6.2564874246578546</c:v>
                </c:pt>
                <c:pt idx="35">
                  <c:v>5.868520955597309</c:v>
                </c:pt>
                <c:pt idx="36">
                  <c:v>3.7349114157220891</c:v>
                </c:pt>
                <c:pt idx="37">
                  <c:v>3.7349114157220891</c:v>
                </c:pt>
                <c:pt idx="38">
                  <c:v>8.6545312504476311</c:v>
                </c:pt>
                <c:pt idx="39">
                  <c:v>5.7624243397397459</c:v>
                </c:pt>
                <c:pt idx="40">
                  <c:v>4.4370429360142314</c:v>
                </c:pt>
                <c:pt idx="43">
                  <c:v>9.8935360619334496</c:v>
                </c:pt>
                <c:pt idx="44">
                  <c:v>3.7639814849611937</c:v>
                </c:pt>
                <c:pt idx="45">
                  <c:v>7.355092609314223</c:v>
                </c:pt>
                <c:pt idx="46">
                  <c:v>7.3037301719250527</c:v>
                </c:pt>
                <c:pt idx="47">
                  <c:v>3.0077296268712224</c:v>
                </c:pt>
                <c:pt idx="49">
                  <c:v>5.3556584341436251</c:v>
                </c:pt>
                <c:pt idx="50">
                  <c:v>2.5009422294987376</c:v>
                </c:pt>
                <c:pt idx="51">
                  <c:v>2.9720378909572767</c:v>
                </c:pt>
                <c:pt idx="52">
                  <c:v>11.455956761625158</c:v>
                </c:pt>
                <c:pt idx="53">
                  <c:v>3.8222711083082976</c:v>
                </c:pt>
                <c:pt idx="54">
                  <c:v>5.1176717255644801</c:v>
                </c:pt>
                <c:pt idx="55">
                  <c:v>8.3265730605190846</c:v>
                </c:pt>
                <c:pt idx="56">
                  <c:v>5.9170953585147643</c:v>
                </c:pt>
                <c:pt idx="57">
                  <c:v>5.7169100449275749</c:v>
                </c:pt>
                <c:pt idx="58">
                  <c:v>7.1261508483261942</c:v>
                </c:pt>
                <c:pt idx="60">
                  <c:v>5.5570692553390542</c:v>
                </c:pt>
                <c:pt idx="62">
                  <c:v>4.8871925310941675</c:v>
                </c:pt>
                <c:pt idx="63">
                  <c:v>10.654913251676447</c:v>
                </c:pt>
                <c:pt idx="64">
                  <c:v>4.5043149875277653</c:v>
                </c:pt>
                <c:pt idx="65">
                  <c:v>6.9475544561114768</c:v>
                </c:pt>
                <c:pt idx="66">
                  <c:v>1.376411605914204</c:v>
                </c:pt>
                <c:pt idx="67">
                  <c:v>2.1900516369820511</c:v>
                </c:pt>
                <c:pt idx="69">
                  <c:v>5.8841186348996937</c:v>
                </c:pt>
                <c:pt idx="70">
                  <c:v>6.4749832889187973</c:v>
                </c:pt>
                <c:pt idx="71">
                  <c:v>6.5978672012958306</c:v>
                </c:pt>
                <c:pt idx="72">
                  <c:v>7.0339600613841951</c:v>
                </c:pt>
                <c:pt idx="73">
                  <c:v>5.7766072115110996</c:v>
                </c:pt>
                <c:pt idx="75">
                  <c:v>7.8548771880809687</c:v>
                </c:pt>
                <c:pt idx="76">
                  <c:v>7.581780795881147</c:v>
                </c:pt>
                <c:pt idx="77">
                  <c:v>4.9033304286914383</c:v>
                </c:pt>
                <c:pt idx="78">
                  <c:v>7.5969700510252398</c:v>
                </c:pt>
                <c:pt idx="81">
                  <c:v>3.7327475599526312</c:v>
                </c:pt>
                <c:pt idx="84">
                  <c:v>6.8146513110855542</c:v>
                </c:pt>
                <c:pt idx="86">
                  <c:v>5.6587644021592318</c:v>
                </c:pt>
                <c:pt idx="87">
                  <c:v>11.792899251963515</c:v>
                </c:pt>
                <c:pt idx="88">
                  <c:v>3.9276022438448086</c:v>
                </c:pt>
                <c:pt idx="89">
                  <c:v>6.4075630057360717</c:v>
                </c:pt>
                <c:pt idx="90">
                  <c:v>5.87552874184221</c:v>
                </c:pt>
                <c:pt idx="92">
                  <c:v>4.6149150735746582</c:v>
                </c:pt>
                <c:pt idx="93">
                  <c:v>7.1572750377295611</c:v>
                </c:pt>
                <c:pt idx="94">
                  <c:v>6.6324237226660854</c:v>
                </c:pt>
                <c:pt idx="96">
                  <c:v>7.2044872129270798</c:v>
                </c:pt>
                <c:pt idx="97">
                  <c:v>7.2207465139285878</c:v>
                </c:pt>
                <c:pt idx="98">
                  <c:v>7.4176970526457211</c:v>
                </c:pt>
                <c:pt idx="99">
                  <c:v>4.3325422932500119</c:v>
                </c:pt>
                <c:pt idx="100">
                  <c:v>7.4178686371077118</c:v>
                </c:pt>
                <c:pt idx="101">
                  <c:v>6.0766859358334138</c:v>
                </c:pt>
                <c:pt idx="102">
                  <c:v>8.5758469013886796</c:v>
                </c:pt>
                <c:pt idx="107">
                  <c:v>7.5243850034984865</c:v>
                </c:pt>
                <c:pt idx="108">
                  <c:v>8.6648586174997089</c:v>
                </c:pt>
                <c:pt idx="109">
                  <c:v>6.9961095336703485</c:v>
                </c:pt>
                <c:pt idx="110">
                  <c:v>5.5081911208960026</c:v>
                </c:pt>
                <c:pt idx="111">
                  <c:v>4.4288977614872147</c:v>
                </c:pt>
                <c:pt idx="113">
                  <c:v>7.0549003700877462</c:v>
                </c:pt>
                <c:pt idx="114">
                  <c:v>5.5502712364413362</c:v>
                </c:pt>
                <c:pt idx="115">
                  <c:v>4.134760977619572</c:v>
                </c:pt>
                <c:pt idx="116">
                  <c:v>10.14809966970698</c:v>
                </c:pt>
                <c:pt idx="117">
                  <c:v>6.7847863833869777</c:v>
                </c:pt>
                <c:pt idx="118">
                  <c:v>10.102993569596968</c:v>
                </c:pt>
                <c:pt idx="119">
                  <c:v>9.641607948728403</c:v>
                </c:pt>
                <c:pt idx="120">
                  <c:v>5.217124713030449</c:v>
                </c:pt>
                <c:pt idx="121">
                  <c:v>6.3205624252537485</c:v>
                </c:pt>
                <c:pt idx="122">
                  <c:v>5.1815696536533471</c:v>
                </c:pt>
                <c:pt idx="123">
                  <c:v>7.8842373963328125</c:v>
                </c:pt>
                <c:pt idx="124">
                  <c:v>6.049590773354443</c:v>
                </c:pt>
                <c:pt idx="125">
                  <c:v>5.5277793966095352</c:v>
                </c:pt>
                <c:pt idx="126">
                  <c:v>7.9730667404165425</c:v>
                </c:pt>
                <c:pt idx="128">
                  <c:v>7.4086252342138943</c:v>
                </c:pt>
                <c:pt idx="130">
                  <c:v>5.0212976354538545</c:v>
                </c:pt>
                <c:pt idx="131">
                  <c:v>7.7069361719692129</c:v>
                </c:pt>
                <c:pt idx="132">
                  <c:v>8.0512683460933054</c:v>
                </c:pt>
                <c:pt idx="133">
                  <c:v>5.5183477723382897</c:v>
                </c:pt>
                <c:pt idx="134">
                  <c:v>5.9305525521475824</c:v>
                </c:pt>
                <c:pt idx="135">
                  <c:v>5.8200817796180955</c:v>
                </c:pt>
                <c:pt idx="136">
                  <c:v>7.5368023372287976</c:v>
                </c:pt>
                <c:pt idx="137">
                  <c:v>5.1868202596110855</c:v>
                </c:pt>
                <c:pt idx="138">
                  <c:v>7.3401608373041798</c:v>
                </c:pt>
                <c:pt idx="139">
                  <c:v>7.8763002445915378</c:v>
                </c:pt>
                <c:pt idx="141">
                  <c:v>3.673379466165398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F7E-4BCC-B793-E072E2992C4D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76200">
                <a:solidFill>
                  <a:srgbClr val="FF0000"/>
                </a:solidFill>
              </a:ln>
              <a:effectLst/>
            </c:spPr>
          </c:marker>
          <c:xVal>
            <c:numRef>
              <c:f>Cruise!$B$6</c:f>
              <c:numCache>
                <c:formatCode>General</c:formatCode>
                <c:ptCount val="1"/>
                <c:pt idx="0">
                  <c:v>9000</c:v>
                </c:pt>
              </c:numCache>
            </c:numRef>
          </c:xVal>
          <c:yVal>
            <c:numRef>
              <c:f>Cruise!$B$15</c:f>
              <c:numCache>
                <c:formatCode>General</c:formatCode>
                <c:ptCount val="1"/>
                <c:pt idx="0">
                  <c:v>7.0793333333333326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F7E-4BCC-B793-E072E2992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270480"/>
        <c:axId val="621269824"/>
      </c:scatterChart>
      <c:valAx>
        <c:axId val="62127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DWT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69824"/>
        <c:crosses val="autoZero"/>
        <c:crossBetween val="midCat"/>
      </c:valAx>
      <c:valAx>
        <c:axId val="62126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Δ/</a:t>
                </a:r>
                <a:r>
                  <a:rPr lang="fi-FI"/>
                  <a:t>DWT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70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 vs. power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6"/>
            <c:spPr>
              <a:solidFill>
                <a:srgbClr val="4684EE"/>
              </a:solidFill>
              <a:ln cmpd="sng">
                <a:solidFill>
                  <a:srgbClr val="4684EE"/>
                </a:solidFill>
              </a:ln>
            </c:spPr>
          </c:marker>
          <c:trendline>
            <c:name>Trendiviiva: Tietosarjat 1</c:name>
            <c:spPr>
              <a:ln w="19050">
                <a:solidFill>
                  <a:srgbClr val="4684EE">
                    <a:alpha val="60000"/>
                  </a:srgbClr>
                </a:solidFill>
              </a:ln>
            </c:spPr>
            <c:trendlineType val="exp"/>
            <c:dispRSqr val="0"/>
            <c:dispEq val="0"/>
          </c:trendline>
          <c:xVal>
            <c:numRef>
              <c:f>'Hospital passenger ship'!$H$116:$H$144</c:f>
              <c:numCache>
                <c:formatCode>General</c:formatCode>
                <c:ptCount val="29"/>
                <c:pt idx="0">
                  <c:v>21</c:v>
                </c:pt>
                <c:pt idx="1">
                  <c:v>19.5</c:v>
                </c:pt>
                <c:pt idx="2">
                  <c:v>24.7</c:v>
                </c:pt>
                <c:pt idx="3">
                  <c:v>28</c:v>
                </c:pt>
                <c:pt idx="4">
                  <c:v>28.6</c:v>
                </c:pt>
                <c:pt idx="5">
                  <c:v>23.7</c:v>
                </c:pt>
                <c:pt idx="6">
                  <c:v>17.7</c:v>
                </c:pt>
                <c:pt idx="7">
                  <c:v>29</c:v>
                </c:pt>
                <c:pt idx="8">
                  <c:v>24</c:v>
                </c:pt>
                <c:pt idx="9">
                  <c:v>15.3</c:v>
                </c:pt>
                <c:pt idx="10">
                  <c:v>18</c:v>
                </c:pt>
                <c:pt idx="11">
                  <c:v>25.46</c:v>
                </c:pt>
                <c:pt idx="12">
                  <c:v>32.299999999999997</c:v>
                </c:pt>
                <c:pt idx="13">
                  <c:v>28.8</c:v>
                </c:pt>
                <c:pt idx="14">
                  <c:v>18</c:v>
                </c:pt>
                <c:pt idx="15">
                  <c:v>25.2</c:v>
                </c:pt>
                <c:pt idx="16">
                  <c:v>25.2</c:v>
                </c:pt>
                <c:pt idx="17">
                  <c:v>25.46</c:v>
                </c:pt>
                <c:pt idx="18">
                  <c:v>19</c:v>
                </c:pt>
                <c:pt idx="19">
                  <c:v>37.200000000000003</c:v>
                </c:pt>
                <c:pt idx="20">
                  <c:v>47</c:v>
                </c:pt>
                <c:pt idx="21">
                  <c:v>25.18</c:v>
                </c:pt>
                <c:pt idx="22">
                  <c:v>24</c:v>
                </c:pt>
                <c:pt idx="23">
                  <c:v>27.58</c:v>
                </c:pt>
                <c:pt idx="24">
                  <c:v>19.2</c:v>
                </c:pt>
                <c:pt idx="25">
                  <c:v>22</c:v>
                </c:pt>
                <c:pt idx="26">
                  <c:v>24.8</c:v>
                </c:pt>
                <c:pt idx="27">
                  <c:v>20.2</c:v>
                </c:pt>
                <c:pt idx="28">
                  <c:v>21.5</c:v>
                </c:pt>
              </c:numCache>
            </c:numRef>
          </c:xVal>
          <c:yVal>
            <c:numRef>
              <c:f>'Hospital passenger ship'!$L$116:$L$144</c:f>
              <c:numCache>
                <c:formatCode>General</c:formatCode>
                <c:ptCount val="29"/>
                <c:pt idx="0">
                  <c:v>12779</c:v>
                </c:pt>
                <c:pt idx="1">
                  <c:v>9000</c:v>
                </c:pt>
                <c:pt idx="2">
                  <c:v>17300</c:v>
                </c:pt>
                <c:pt idx="3">
                  <c:v>23400</c:v>
                </c:pt>
                <c:pt idx="5">
                  <c:v>12480</c:v>
                </c:pt>
                <c:pt idx="6">
                  <c:v>5400</c:v>
                </c:pt>
                <c:pt idx="7">
                  <c:v>28800</c:v>
                </c:pt>
                <c:pt idx="8">
                  <c:v>13136</c:v>
                </c:pt>
                <c:pt idx="9">
                  <c:v>3520</c:v>
                </c:pt>
                <c:pt idx="10">
                  <c:v>4600</c:v>
                </c:pt>
                <c:pt idx="11">
                  <c:v>13500</c:v>
                </c:pt>
                <c:pt idx="12">
                  <c:v>35000</c:v>
                </c:pt>
                <c:pt idx="13">
                  <c:v>20000</c:v>
                </c:pt>
                <c:pt idx="14">
                  <c:v>4600</c:v>
                </c:pt>
                <c:pt idx="15">
                  <c:v>13240</c:v>
                </c:pt>
                <c:pt idx="16">
                  <c:v>13420</c:v>
                </c:pt>
                <c:pt idx="17">
                  <c:v>13500</c:v>
                </c:pt>
                <c:pt idx="18">
                  <c:v>7280</c:v>
                </c:pt>
                <c:pt idx="19">
                  <c:v>75600</c:v>
                </c:pt>
                <c:pt idx="20">
                  <c:v>97200</c:v>
                </c:pt>
                <c:pt idx="21">
                  <c:v>19124</c:v>
                </c:pt>
                <c:pt idx="22">
                  <c:v>21600</c:v>
                </c:pt>
                <c:pt idx="23">
                  <c:v>21720</c:v>
                </c:pt>
                <c:pt idx="24">
                  <c:v>9000</c:v>
                </c:pt>
                <c:pt idx="25">
                  <c:v>12422</c:v>
                </c:pt>
                <c:pt idx="26">
                  <c:v>21000</c:v>
                </c:pt>
                <c:pt idx="27">
                  <c:v>7920</c:v>
                </c:pt>
                <c:pt idx="28">
                  <c:v>13800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244-49C6-B4BC-246BA090E7A3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pPr>
              <a:solidFill>
                <a:srgbClr val="FF0000"/>
              </a:solidFill>
              <a:ln w="76200">
                <a:solidFill>
                  <a:srgbClr val="FF0000"/>
                </a:solidFill>
              </a:ln>
            </c:spPr>
          </c:marker>
          <c:xVal>
            <c:numRef>
              <c:f>'Hospital passenger ship'!$B$4</c:f>
              <c:numCache>
                <c:formatCode>General</c:formatCode>
                <c:ptCount val="1"/>
                <c:pt idx="0">
                  <c:v>37</c:v>
                </c:pt>
              </c:numCache>
            </c:numRef>
          </c:xVal>
          <c:yVal>
            <c:numRef>
              <c:f>'Hospital passenger ship'!$B$11</c:f>
              <c:numCache>
                <c:formatCode>General</c:formatCode>
                <c:ptCount val="1"/>
                <c:pt idx="0">
                  <c:v>50000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97B-4F3E-BBEE-695862C27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9762699"/>
        <c:axId val="2068031660"/>
      </c:scatterChart>
      <c:valAx>
        <c:axId val="1339762699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Beam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2068031660"/>
        <c:crosses val="autoZero"/>
        <c:crossBetween val="midCat"/>
      </c:valAx>
      <c:valAx>
        <c:axId val="206803166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power (kW)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1339762699"/>
        <c:crosses val="autoZero"/>
        <c:crossBetween val="midCat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6"/>
            <c:spPr>
              <a:solidFill>
                <a:srgbClr val="4684EE"/>
              </a:solidFill>
              <a:ln cmpd="sng">
                <a:solidFill>
                  <a:srgbClr val="4684EE"/>
                </a:solidFill>
              </a:ln>
            </c:spPr>
          </c:marker>
          <c:trendline>
            <c:spPr>
              <a:ln w="9525">
                <a:solidFill>
                  <a:srgbClr val="004586"/>
                </a:solidFill>
              </a:ln>
            </c:spPr>
            <c:trendlineType val="linear"/>
            <c:dispRSqr val="0"/>
            <c:dispEq val="0"/>
          </c:trendline>
          <c:xVal>
            <c:numRef>
              <c:f>'Hospital passenger ship'!$E$116:$E$144</c:f>
              <c:numCache>
                <c:formatCode>General</c:formatCode>
                <c:ptCount val="29"/>
                <c:pt idx="0">
                  <c:v>137.1</c:v>
                </c:pt>
                <c:pt idx="1">
                  <c:v>123.3</c:v>
                </c:pt>
                <c:pt idx="2">
                  <c:v>192.82</c:v>
                </c:pt>
                <c:pt idx="3">
                  <c:v>177</c:v>
                </c:pt>
                <c:pt idx="4">
                  <c:v>174.1</c:v>
                </c:pt>
                <c:pt idx="5">
                  <c:v>152</c:v>
                </c:pt>
                <c:pt idx="6">
                  <c:v>97.34</c:v>
                </c:pt>
                <c:pt idx="7">
                  <c:v>191</c:v>
                </c:pt>
                <c:pt idx="8">
                  <c:v>174</c:v>
                </c:pt>
                <c:pt idx="9">
                  <c:v>90.6</c:v>
                </c:pt>
                <c:pt idx="10">
                  <c:v>142.1</c:v>
                </c:pt>
                <c:pt idx="11">
                  <c:v>181</c:v>
                </c:pt>
                <c:pt idx="12">
                  <c:v>293.8</c:v>
                </c:pt>
                <c:pt idx="13">
                  <c:v>251.25</c:v>
                </c:pt>
                <c:pt idx="14">
                  <c:v>142.1</c:v>
                </c:pt>
                <c:pt idx="15">
                  <c:v>177.7</c:v>
                </c:pt>
                <c:pt idx="16">
                  <c:v>205.46</c:v>
                </c:pt>
                <c:pt idx="17">
                  <c:v>180.96</c:v>
                </c:pt>
                <c:pt idx="18">
                  <c:v>135</c:v>
                </c:pt>
                <c:pt idx="19">
                  <c:v>306</c:v>
                </c:pt>
                <c:pt idx="20">
                  <c:v>362</c:v>
                </c:pt>
                <c:pt idx="21">
                  <c:v>158.88</c:v>
                </c:pt>
                <c:pt idx="22">
                  <c:v>198.6</c:v>
                </c:pt>
                <c:pt idx="23">
                  <c:v>193.3</c:v>
                </c:pt>
                <c:pt idx="24">
                  <c:v>121.8</c:v>
                </c:pt>
                <c:pt idx="25">
                  <c:v>157</c:v>
                </c:pt>
                <c:pt idx="26">
                  <c:v>170.69</c:v>
                </c:pt>
                <c:pt idx="27">
                  <c:v>113.65</c:v>
                </c:pt>
                <c:pt idx="28">
                  <c:v>138.5</c:v>
                </c:pt>
              </c:numCache>
            </c:numRef>
          </c:xVal>
          <c:yVal>
            <c:numRef>
              <c:f>'Hospital passenger ship'!$M$116:$M$144</c:f>
              <c:numCache>
                <c:formatCode>General</c:formatCode>
                <c:ptCount val="29"/>
                <c:pt idx="0">
                  <c:v>15</c:v>
                </c:pt>
                <c:pt idx="1">
                  <c:v>15</c:v>
                </c:pt>
                <c:pt idx="2">
                  <c:v>21</c:v>
                </c:pt>
                <c:pt idx="3">
                  <c:v>21</c:v>
                </c:pt>
                <c:pt idx="4">
                  <c:v>12</c:v>
                </c:pt>
                <c:pt idx="5">
                  <c:v>18.5</c:v>
                </c:pt>
                <c:pt idx="6">
                  <c:v>17</c:v>
                </c:pt>
                <c:pt idx="7">
                  <c:v>21</c:v>
                </c:pt>
                <c:pt idx="8">
                  <c:v>22</c:v>
                </c:pt>
                <c:pt idx="9">
                  <c:v>15.5</c:v>
                </c:pt>
                <c:pt idx="10">
                  <c:v>16</c:v>
                </c:pt>
                <c:pt idx="11">
                  <c:v>18</c:v>
                </c:pt>
                <c:pt idx="12">
                  <c:v>23</c:v>
                </c:pt>
                <c:pt idx="13">
                  <c:v>21.5</c:v>
                </c:pt>
                <c:pt idx="14">
                  <c:v>16</c:v>
                </c:pt>
                <c:pt idx="15">
                  <c:v>21</c:v>
                </c:pt>
                <c:pt idx="16">
                  <c:v>21.5</c:v>
                </c:pt>
                <c:pt idx="17">
                  <c:v>18</c:v>
                </c:pt>
                <c:pt idx="18">
                  <c:v>16</c:v>
                </c:pt>
                <c:pt idx="19">
                  <c:v>22.5</c:v>
                </c:pt>
                <c:pt idx="20">
                  <c:v>22.6</c:v>
                </c:pt>
                <c:pt idx="21">
                  <c:v>19</c:v>
                </c:pt>
                <c:pt idx="22">
                  <c:v>21</c:v>
                </c:pt>
                <c:pt idx="23">
                  <c:v>20</c:v>
                </c:pt>
                <c:pt idx="24">
                  <c:v>18</c:v>
                </c:pt>
                <c:pt idx="25">
                  <c:v>20</c:v>
                </c:pt>
                <c:pt idx="26">
                  <c:v>19.5</c:v>
                </c:pt>
                <c:pt idx="27">
                  <c:v>16</c:v>
                </c:pt>
                <c:pt idx="28">
                  <c:v>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B9C-4A7C-8A39-CE73B071BD68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pPr>
              <a:solidFill>
                <a:srgbClr val="FF0000"/>
              </a:solidFill>
              <a:ln w="76200">
                <a:solidFill>
                  <a:srgbClr val="FF0000"/>
                </a:solidFill>
              </a:ln>
            </c:spPr>
          </c:marker>
          <c:xVal>
            <c:numRef>
              <c:f>'Hospital passenger ship'!$B$2</c:f>
              <c:numCache>
                <c:formatCode>General</c:formatCode>
                <c:ptCount val="1"/>
                <c:pt idx="0">
                  <c:v>287</c:v>
                </c:pt>
              </c:numCache>
            </c:numRef>
          </c:xVal>
          <c:yVal>
            <c:numRef>
              <c:f>'Hospital passenger ship'!$B$9</c:f>
              <c:numCache>
                <c:formatCode>General</c:formatCode>
                <c:ptCount val="1"/>
                <c:pt idx="0">
                  <c:v>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22B-414C-998B-7B05577E6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7109126"/>
        <c:axId val="1170297558"/>
      </c:scatterChart>
      <c:valAx>
        <c:axId val="131710912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Loa (m)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1170297558"/>
        <c:crosses val="autoZero"/>
        <c:crossBetween val="midCat"/>
      </c:valAx>
      <c:valAx>
        <c:axId val="117029755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speed (kn)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1317109126"/>
        <c:crosses val="autoZero"/>
        <c:crossBetween val="midCat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6"/>
            <c:spPr>
              <a:solidFill>
                <a:srgbClr val="4684EE"/>
              </a:solidFill>
              <a:ln cmpd="sng">
                <a:solidFill>
                  <a:srgbClr val="4684EE"/>
                </a:solidFill>
              </a:ln>
            </c:spPr>
          </c:marker>
          <c:trendline>
            <c:spPr>
              <a:ln w="9525">
                <a:solidFill>
                  <a:srgbClr val="99CCFF"/>
                </a:solidFill>
              </a:ln>
            </c:spPr>
            <c:trendlineType val="exp"/>
            <c:dispRSqr val="0"/>
            <c:dispEq val="0"/>
          </c:trendline>
          <c:xVal>
            <c:numRef>
              <c:f>'Hospital passenger ship'!$E$116:$E$139</c:f>
              <c:numCache>
                <c:formatCode>General</c:formatCode>
                <c:ptCount val="24"/>
                <c:pt idx="0">
                  <c:v>137.1</c:v>
                </c:pt>
                <c:pt idx="1">
                  <c:v>123.3</c:v>
                </c:pt>
                <c:pt idx="2">
                  <c:v>192.82</c:v>
                </c:pt>
                <c:pt idx="3">
                  <c:v>177</c:v>
                </c:pt>
                <c:pt idx="4">
                  <c:v>174.1</c:v>
                </c:pt>
                <c:pt idx="5">
                  <c:v>152</c:v>
                </c:pt>
                <c:pt idx="6">
                  <c:v>97.34</c:v>
                </c:pt>
                <c:pt idx="7">
                  <c:v>191</c:v>
                </c:pt>
                <c:pt idx="8">
                  <c:v>174</c:v>
                </c:pt>
                <c:pt idx="9">
                  <c:v>90.6</c:v>
                </c:pt>
                <c:pt idx="10">
                  <c:v>142.1</c:v>
                </c:pt>
                <c:pt idx="11">
                  <c:v>181</c:v>
                </c:pt>
                <c:pt idx="12">
                  <c:v>293.8</c:v>
                </c:pt>
                <c:pt idx="13">
                  <c:v>251.25</c:v>
                </c:pt>
                <c:pt idx="14">
                  <c:v>142.1</c:v>
                </c:pt>
                <c:pt idx="15">
                  <c:v>177.7</c:v>
                </c:pt>
                <c:pt idx="16">
                  <c:v>205.46</c:v>
                </c:pt>
                <c:pt idx="17">
                  <c:v>180.96</c:v>
                </c:pt>
                <c:pt idx="18">
                  <c:v>135</c:v>
                </c:pt>
                <c:pt idx="19">
                  <c:v>306</c:v>
                </c:pt>
                <c:pt idx="20">
                  <c:v>362</c:v>
                </c:pt>
                <c:pt idx="21">
                  <c:v>158.88</c:v>
                </c:pt>
                <c:pt idx="22">
                  <c:v>198.6</c:v>
                </c:pt>
                <c:pt idx="23">
                  <c:v>193.3</c:v>
                </c:pt>
              </c:numCache>
            </c:numRef>
          </c:xVal>
          <c:yVal>
            <c:numRef>
              <c:f>'Hospital passenger ship'!$R$116:$R$144</c:f>
              <c:numCache>
                <c:formatCode>General</c:formatCode>
                <c:ptCount val="29"/>
                <c:pt idx="0">
                  <c:v>380</c:v>
                </c:pt>
                <c:pt idx="1">
                  <c:v>451</c:v>
                </c:pt>
                <c:pt idx="2">
                  <c:v>624</c:v>
                </c:pt>
                <c:pt idx="3">
                  <c:v>1800</c:v>
                </c:pt>
                <c:pt idx="4">
                  <c:v>641</c:v>
                </c:pt>
                <c:pt idx="5">
                  <c:v>474</c:v>
                </c:pt>
                <c:pt idx="7">
                  <c:v>2500</c:v>
                </c:pt>
                <c:pt idx="8">
                  <c:v>650</c:v>
                </c:pt>
                <c:pt idx="11">
                  <c:v>826</c:v>
                </c:pt>
                <c:pt idx="12">
                  <c:v>3605</c:v>
                </c:pt>
                <c:pt idx="13">
                  <c:v>2200</c:v>
                </c:pt>
                <c:pt idx="14">
                  <c:v>264</c:v>
                </c:pt>
                <c:pt idx="15">
                  <c:v>536</c:v>
                </c:pt>
                <c:pt idx="16">
                  <c:v>812</c:v>
                </c:pt>
                <c:pt idx="17">
                  <c:v>824</c:v>
                </c:pt>
                <c:pt idx="18">
                  <c:v>208</c:v>
                </c:pt>
                <c:pt idx="19">
                  <c:v>4631</c:v>
                </c:pt>
                <c:pt idx="20">
                  <c:v>6296</c:v>
                </c:pt>
                <c:pt idx="21">
                  <c:v>1409</c:v>
                </c:pt>
                <c:pt idx="22">
                  <c:v>408</c:v>
                </c:pt>
                <c:pt idx="23">
                  <c:v>1186</c:v>
                </c:pt>
                <c:pt idx="24">
                  <c:v>490</c:v>
                </c:pt>
                <c:pt idx="25">
                  <c:v>745</c:v>
                </c:pt>
                <c:pt idx="26">
                  <c:v>490</c:v>
                </c:pt>
                <c:pt idx="27">
                  <c:v>280</c:v>
                </c:pt>
                <c:pt idx="28">
                  <c:v>578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547-4A62-B2C4-D29CA36D5319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pPr>
              <a:solidFill>
                <a:srgbClr val="FF0000"/>
              </a:solidFill>
              <a:ln w="76200">
                <a:solidFill>
                  <a:srgbClr val="FF0000"/>
                </a:solidFill>
              </a:ln>
            </c:spPr>
          </c:marker>
          <c:xVal>
            <c:numRef>
              <c:f>'Hospital passenger ship'!$B$2</c:f>
              <c:numCache>
                <c:formatCode>General</c:formatCode>
                <c:ptCount val="1"/>
                <c:pt idx="0">
                  <c:v>287</c:v>
                </c:pt>
              </c:numCache>
            </c:numRef>
          </c:xVal>
          <c:yVal>
            <c:numRef>
              <c:f>'Hospital passenger ship'!$B$12</c:f>
              <c:numCache>
                <c:formatCode>General</c:formatCode>
                <c:ptCount val="1"/>
                <c:pt idx="0">
                  <c:v>3000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26E-4A00-9FAF-DC035D844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9800021"/>
        <c:axId val="230839208"/>
      </c:scatterChart>
      <c:valAx>
        <c:axId val="2129800021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Loa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230839208"/>
        <c:crosses val="autoZero"/>
        <c:crossBetween val="midCat"/>
      </c:valAx>
      <c:valAx>
        <c:axId val="23083920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Beds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2129800021"/>
        <c:crosses val="autoZero"/>
        <c:crossBetween val="midCat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6"/>
            <c:spPr>
              <a:solidFill>
                <a:srgbClr val="4684EE"/>
              </a:solidFill>
              <a:ln cmpd="sng">
                <a:solidFill>
                  <a:srgbClr val="4684EE"/>
                </a:solidFill>
              </a:ln>
            </c:spPr>
          </c:marker>
          <c:trendline>
            <c:name>Trendiviiva: Tietosarjat 1</c:name>
            <c:spPr>
              <a:ln w="19050">
                <a:solidFill>
                  <a:srgbClr val="4684EE">
                    <a:alpha val="60000"/>
                  </a:srgbClr>
                </a:solidFill>
              </a:ln>
            </c:spPr>
            <c:trendlineType val="exp"/>
            <c:dispRSqr val="0"/>
            <c:dispEq val="0"/>
          </c:trendline>
          <c:xVal>
            <c:numRef>
              <c:f>'Hospital passenger ship'!$E$116:$E$144</c:f>
              <c:numCache>
                <c:formatCode>General</c:formatCode>
                <c:ptCount val="29"/>
                <c:pt idx="0">
                  <c:v>137.1</c:v>
                </c:pt>
                <c:pt idx="1">
                  <c:v>123.3</c:v>
                </c:pt>
                <c:pt idx="2">
                  <c:v>192.82</c:v>
                </c:pt>
                <c:pt idx="3">
                  <c:v>177</c:v>
                </c:pt>
                <c:pt idx="4">
                  <c:v>174.1</c:v>
                </c:pt>
                <c:pt idx="5">
                  <c:v>152</c:v>
                </c:pt>
                <c:pt idx="6">
                  <c:v>97.34</c:v>
                </c:pt>
                <c:pt idx="7">
                  <c:v>191</c:v>
                </c:pt>
                <c:pt idx="8">
                  <c:v>174</c:v>
                </c:pt>
                <c:pt idx="9">
                  <c:v>90.6</c:v>
                </c:pt>
                <c:pt idx="10">
                  <c:v>142.1</c:v>
                </c:pt>
                <c:pt idx="11">
                  <c:v>181</c:v>
                </c:pt>
                <c:pt idx="12">
                  <c:v>293.8</c:v>
                </c:pt>
                <c:pt idx="13">
                  <c:v>251.25</c:v>
                </c:pt>
                <c:pt idx="14">
                  <c:v>142.1</c:v>
                </c:pt>
                <c:pt idx="15">
                  <c:v>177.7</c:v>
                </c:pt>
                <c:pt idx="16">
                  <c:v>205.46</c:v>
                </c:pt>
                <c:pt idx="17">
                  <c:v>180.96</c:v>
                </c:pt>
                <c:pt idx="18">
                  <c:v>135</c:v>
                </c:pt>
                <c:pt idx="19">
                  <c:v>306</c:v>
                </c:pt>
                <c:pt idx="20">
                  <c:v>362</c:v>
                </c:pt>
                <c:pt idx="21">
                  <c:v>158.88</c:v>
                </c:pt>
                <c:pt idx="22">
                  <c:v>198.6</c:v>
                </c:pt>
                <c:pt idx="23">
                  <c:v>193.3</c:v>
                </c:pt>
                <c:pt idx="24">
                  <c:v>121.8</c:v>
                </c:pt>
                <c:pt idx="25">
                  <c:v>157</c:v>
                </c:pt>
                <c:pt idx="26">
                  <c:v>170.69</c:v>
                </c:pt>
                <c:pt idx="27">
                  <c:v>113.65</c:v>
                </c:pt>
                <c:pt idx="28">
                  <c:v>138.5</c:v>
                </c:pt>
              </c:numCache>
            </c:numRef>
          </c:xVal>
          <c:yVal>
            <c:numRef>
              <c:f>'Hospital passenger ship'!$L$116:$L$144</c:f>
              <c:numCache>
                <c:formatCode>General</c:formatCode>
                <c:ptCount val="29"/>
                <c:pt idx="0">
                  <c:v>12779</c:v>
                </c:pt>
                <c:pt idx="1">
                  <c:v>9000</c:v>
                </c:pt>
                <c:pt idx="2">
                  <c:v>17300</c:v>
                </c:pt>
                <c:pt idx="3">
                  <c:v>23400</c:v>
                </c:pt>
                <c:pt idx="5">
                  <c:v>12480</c:v>
                </c:pt>
                <c:pt idx="6">
                  <c:v>5400</c:v>
                </c:pt>
                <c:pt idx="7">
                  <c:v>28800</c:v>
                </c:pt>
                <c:pt idx="8">
                  <c:v>13136</c:v>
                </c:pt>
                <c:pt idx="9">
                  <c:v>3520</c:v>
                </c:pt>
                <c:pt idx="10">
                  <c:v>4600</c:v>
                </c:pt>
                <c:pt idx="11">
                  <c:v>13500</c:v>
                </c:pt>
                <c:pt idx="12">
                  <c:v>35000</c:v>
                </c:pt>
                <c:pt idx="13">
                  <c:v>20000</c:v>
                </c:pt>
                <c:pt idx="14">
                  <c:v>4600</c:v>
                </c:pt>
                <c:pt idx="15">
                  <c:v>13240</c:v>
                </c:pt>
                <c:pt idx="16">
                  <c:v>13420</c:v>
                </c:pt>
                <c:pt idx="17">
                  <c:v>13500</c:v>
                </c:pt>
                <c:pt idx="18">
                  <c:v>7280</c:v>
                </c:pt>
                <c:pt idx="19">
                  <c:v>75600</c:v>
                </c:pt>
                <c:pt idx="20">
                  <c:v>97200</c:v>
                </c:pt>
                <c:pt idx="21">
                  <c:v>19124</c:v>
                </c:pt>
                <c:pt idx="22">
                  <c:v>21600</c:v>
                </c:pt>
                <c:pt idx="23">
                  <c:v>21720</c:v>
                </c:pt>
                <c:pt idx="24">
                  <c:v>9000</c:v>
                </c:pt>
                <c:pt idx="25">
                  <c:v>12422</c:v>
                </c:pt>
                <c:pt idx="26">
                  <c:v>21000</c:v>
                </c:pt>
                <c:pt idx="27">
                  <c:v>7920</c:v>
                </c:pt>
                <c:pt idx="28">
                  <c:v>13800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ACF-447D-BA13-51AC497301C7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pPr>
              <a:solidFill>
                <a:srgbClr val="FF0000"/>
              </a:solidFill>
              <a:ln w="76200">
                <a:solidFill>
                  <a:srgbClr val="FF0000"/>
                </a:solidFill>
              </a:ln>
            </c:spPr>
          </c:marker>
          <c:xVal>
            <c:numRef>
              <c:f>'Hospital passenger ship'!$B$2</c:f>
              <c:numCache>
                <c:formatCode>General</c:formatCode>
                <c:ptCount val="1"/>
                <c:pt idx="0">
                  <c:v>287</c:v>
                </c:pt>
              </c:numCache>
            </c:numRef>
          </c:xVal>
          <c:yVal>
            <c:numRef>
              <c:f>'Hospital passenger ship'!$B$11</c:f>
              <c:numCache>
                <c:formatCode>General</c:formatCode>
                <c:ptCount val="1"/>
                <c:pt idx="0">
                  <c:v>50000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49F-40D7-B4CA-3934443D1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4070265"/>
        <c:axId val="1535185513"/>
      </c:scatterChart>
      <c:valAx>
        <c:axId val="1324070265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Loa (m)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1535185513"/>
        <c:crosses val="autoZero"/>
        <c:crossBetween val="midCat"/>
      </c:valAx>
      <c:valAx>
        <c:axId val="1535185513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power (kW)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1324070265"/>
        <c:crosses val="autoZero"/>
        <c:crossBetween val="midCat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6"/>
            <c:spPr>
              <a:solidFill>
                <a:srgbClr val="4684EE"/>
              </a:solidFill>
              <a:ln cmpd="sng">
                <a:solidFill>
                  <a:srgbClr val="4684EE"/>
                </a:solidFill>
              </a:ln>
            </c:spPr>
          </c:marker>
          <c:trendline>
            <c:spPr>
              <a:ln w="9525">
                <a:solidFill>
                  <a:srgbClr val="004586"/>
                </a:solidFill>
              </a:ln>
            </c:spPr>
            <c:trendlineType val="linear"/>
            <c:dispRSqr val="0"/>
            <c:dispEq val="0"/>
          </c:trendline>
          <c:xVal>
            <c:numRef>
              <c:f>'Hospital passenger ship'!$E$116:$E$144</c:f>
              <c:numCache>
                <c:formatCode>General</c:formatCode>
                <c:ptCount val="29"/>
                <c:pt idx="0">
                  <c:v>137.1</c:v>
                </c:pt>
                <c:pt idx="1">
                  <c:v>123.3</c:v>
                </c:pt>
                <c:pt idx="2">
                  <c:v>192.82</c:v>
                </c:pt>
                <c:pt idx="3">
                  <c:v>177</c:v>
                </c:pt>
                <c:pt idx="4">
                  <c:v>174.1</c:v>
                </c:pt>
                <c:pt idx="5">
                  <c:v>152</c:v>
                </c:pt>
                <c:pt idx="6">
                  <c:v>97.34</c:v>
                </c:pt>
                <c:pt idx="7">
                  <c:v>191</c:v>
                </c:pt>
                <c:pt idx="8">
                  <c:v>174</c:v>
                </c:pt>
                <c:pt idx="9">
                  <c:v>90.6</c:v>
                </c:pt>
                <c:pt idx="10">
                  <c:v>142.1</c:v>
                </c:pt>
                <c:pt idx="11">
                  <c:v>181</c:v>
                </c:pt>
                <c:pt idx="12">
                  <c:v>293.8</c:v>
                </c:pt>
                <c:pt idx="13">
                  <c:v>251.25</c:v>
                </c:pt>
                <c:pt idx="14">
                  <c:v>142.1</c:v>
                </c:pt>
                <c:pt idx="15">
                  <c:v>177.7</c:v>
                </c:pt>
                <c:pt idx="16">
                  <c:v>205.46</c:v>
                </c:pt>
                <c:pt idx="17">
                  <c:v>180.96</c:v>
                </c:pt>
                <c:pt idx="18">
                  <c:v>135</c:v>
                </c:pt>
                <c:pt idx="19">
                  <c:v>306</c:v>
                </c:pt>
                <c:pt idx="20">
                  <c:v>362</c:v>
                </c:pt>
                <c:pt idx="21">
                  <c:v>158.88</c:v>
                </c:pt>
                <c:pt idx="22">
                  <c:v>198.6</c:v>
                </c:pt>
                <c:pt idx="23">
                  <c:v>193.3</c:v>
                </c:pt>
                <c:pt idx="24">
                  <c:v>121.8</c:v>
                </c:pt>
                <c:pt idx="25">
                  <c:v>157</c:v>
                </c:pt>
                <c:pt idx="26">
                  <c:v>170.69</c:v>
                </c:pt>
                <c:pt idx="27">
                  <c:v>113.65</c:v>
                </c:pt>
                <c:pt idx="28">
                  <c:v>138.5</c:v>
                </c:pt>
              </c:numCache>
            </c:numRef>
          </c:xVal>
          <c:yVal>
            <c:numRef>
              <c:f>'Hospital passenger ship'!$I$116:$I$144</c:f>
              <c:numCache>
                <c:formatCode>General</c:formatCode>
                <c:ptCount val="29"/>
                <c:pt idx="0">
                  <c:v>5.8</c:v>
                </c:pt>
                <c:pt idx="1">
                  <c:v>4.7</c:v>
                </c:pt>
                <c:pt idx="2">
                  <c:v>6.2</c:v>
                </c:pt>
                <c:pt idx="3">
                  <c:v>6.6159999999999997</c:v>
                </c:pt>
                <c:pt idx="4">
                  <c:v>6.15</c:v>
                </c:pt>
                <c:pt idx="5">
                  <c:v>6</c:v>
                </c:pt>
                <c:pt idx="6">
                  <c:v>5.5</c:v>
                </c:pt>
                <c:pt idx="7">
                  <c:v>6.74</c:v>
                </c:pt>
                <c:pt idx="8">
                  <c:v>6.52</c:v>
                </c:pt>
                <c:pt idx="9">
                  <c:v>4.2</c:v>
                </c:pt>
                <c:pt idx="10">
                  <c:v>4.8</c:v>
                </c:pt>
                <c:pt idx="11">
                  <c:v>5.95</c:v>
                </c:pt>
                <c:pt idx="12">
                  <c:v>7.85</c:v>
                </c:pt>
                <c:pt idx="13">
                  <c:v>6.81</c:v>
                </c:pt>
                <c:pt idx="14">
                  <c:v>4.8</c:v>
                </c:pt>
                <c:pt idx="15">
                  <c:v>7.5469999999999997</c:v>
                </c:pt>
                <c:pt idx="16">
                  <c:v>7.5469999999999997</c:v>
                </c:pt>
                <c:pt idx="17">
                  <c:v>5.95</c:v>
                </c:pt>
                <c:pt idx="18">
                  <c:v>5.415</c:v>
                </c:pt>
                <c:pt idx="19">
                  <c:v>8.3000000000000007</c:v>
                </c:pt>
                <c:pt idx="20">
                  <c:v>9.3219999999999992</c:v>
                </c:pt>
                <c:pt idx="21">
                  <c:v>5.9130000000000003</c:v>
                </c:pt>
                <c:pt idx="22">
                  <c:v>6</c:v>
                </c:pt>
                <c:pt idx="23">
                  <c:v>6.19</c:v>
                </c:pt>
                <c:pt idx="24">
                  <c:v>4.7</c:v>
                </c:pt>
                <c:pt idx="25">
                  <c:v>6.2</c:v>
                </c:pt>
                <c:pt idx="26">
                  <c:v>7.3</c:v>
                </c:pt>
                <c:pt idx="27">
                  <c:v>5.0999999999999996</c:v>
                </c:pt>
                <c:pt idx="28">
                  <c:v>4.8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89A-4534-B245-5433844F12EC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pPr>
              <a:solidFill>
                <a:srgbClr val="FF0000"/>
              </a:solidFill>
              <a:ln w="76200">
                <a:solidFill>
                  <a:srgbClr val="FF0000"/>
                </a:solidFill>
              </a:ln>
            </c:spPr>
          </c:marker>
          <c:xVal>
            <c:numRef>
              <c:f>'Hospital passenger ship'!$B$2</c:f>
              <c:numCache>
                <c:formatCode>General</c:formatCode>
                <c:ptCount val="1"/>
                <c:pt idx="0">
                  <c:v>287</c:v>
                </c:pt>
              </c:numCache>
            </c:numRef>
          </c:xVal>
          <c:yVal>
            <c:numRef>
              <c:f>'Hospital passenger ship'!$B$5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026-4E24-89D6-A2AEB87CD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6005595"/>
        <c:axId val="1810631831"/>
      </c:scatterChart>
      <c:valAx>
        <c:axId val="1956005595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Loa (m)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1810631831"/>
        <c:crosses val="autoZero"/>
        <c:crossBetween val="midCat"/>
      </c:valAx>
      <c:valAx>
        <c:axId val="1810631831"/>
        <c:scaling>
          <c:orientation val="minMax"/>
          <c:min val="2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Draft (m)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1956005595"/>
        <c:crosses val="autoZero"/>
        <c:crossBetween val="midCat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6"/>
            <c:spPr>
              <a:solidFill>
                <a:srgbClr val="4684EE"/>
              </a:solidFill>
              <a:ln cmpd="sng">
                <a:solidFill>
                  <a:srgbClr val="4684EE"/>
                </a:solidFill>
              </a:ln>
            </c:spPr>
          </c:marker>
          <c:trendline>
            <c:spPr>
              <a:ln w="9525">
                <a:solidFill>
                  <a:srgbClr val="004586"/>
                </a:solidFill>
              </a:ln>
            </c:spPr>
            <c:trendlineType val="linear"/>
            <c:dispRSqr val="0"/>
            <c:dispEq val="0"/>
          </c:trendline>
          <c:xVal>
            <c:numRef>
              <c:f>'Hospital passenger ship'!$E$116:$E$144</c:f>
              <c:numCache>
                <c:formatCode>General</c:formatCode>
                <c:ptCount val="29"/>
                <c:pt idx="0">
                  <c:v>137.1</c:v>
                </c:pt>
                <c:pt idx="1">
                  <c:v>123.3</c:v>
                </c:pt>
                <c:pt idx="2">
                  <c:v>192.82</c:v>
                </c:pt>
                <c:pt idx="3">
                  <c:v>177</c:v>
                </c:pt>
                <c:pt idx="4">
                  <c:v>174.1</c:v>
                </c:pt>
                <c:pt idx="5">
                  <c:v>152</c:v>
                </c:pt>
                <c:pt idx="6">
                  <c:v>97.34</c:v>
                </c:pt>
                <c:pt idx="7">
                  <c:v>191</c:v>
                </c:pt>
                <c:pt idx="8">
                  <c:v>174</c:v>
                </c:pt>
                <c:pt idx="9">
                  <c:v>90.6</c:v>
                </c:pt>
                <c:pt idx="10">
                  <c:v>142.1</c:v>
                </c:pt>
                <c:pt idx="11">
                  <c:v>181</c:v>
                </c:pt>
                <c:pt idx="12">
                  <c:v>293.8</c:v>
                </c:pt>
                <c:pt idx="13">
                  <c:v>251.25</c:v>
                </c:pt>
                <c:pt idx="14">
                  <c:v>142.1</c:v>
                </c:pt>
                <c:pt idx="15">
                  <c:v>177.7</c:v>
                </c:pt>
                <c:pt idx="16">
                  <c:v>205.46</c:v>
                </c:pt>
                <c:pt idx="17">
                  <c:v>180.96</c:v>
                </c:pt>
                <c:pt idx="18">
                  <c:v>135</c:v>
                </c:pt>
                <c:pt idx="19">
                  <c:v>306</c:v>
                </c:pt>
                <c:pt idx="20">
                  <c:v>362</c:v>
                </c:pt>
                <c:pt idx="21">
                  <c:v>158.88</c:v>
                </c:pt>
                <c:pt idx="22">
                  <c:v>198.6</c:v>
                </c:pt>
                <c:pt idx="23">
                  <c:v>193.3</c:v>
                </c:pt>
                <c:pt idx="24">
                  <c:v>121.8</c:v>
                </c:pt>
                <c:pt idx="25">
                  <c:v>157</c:v>
                </c:pt>
                <c:pt idx="26">
                  <c:v>170.69</c:v>
                </c:pt>
                <c:pt idx="27">
                  <c:v>113.65</c:v>
                </c:pt>
                <c:pt idx="28">
                  <c:v>138.5</c:v>
                </c:pt>
              </c:numCache>
            </c:numRef>
          </c:xVal>
          <c:yVal>
            <c:numRef>
              <c:f>'Hospital passenger ship'!$H$116:$H$144</c:f>
              <c:numCache>
                <c:formatCode>General</c:formatCode>
                <c:ptCount val="29"/>
                <c:pt idx="0">
                  <c:v>21</c:v>
                </c:pt>
                <c:pt idx="1">
                  <c:v>19.5</c:v>
                </c:pt>
                <c:pt idx="2">
                  <c:v>24.7</c:v>
                </c:pt>
                <c:pt idx="3">
                  <c:v>28</c:v>
                </c:pt>
                <c:pt idx="4">
                  <c:v>28.6</c:v>
                </c:pt>
                <c:pt idx="5">
                  <c:v>23.7</c:v>
                </c:pt>
                <c:pt idx="6">
                  <c:v>17.7</c:v>
                </c:pt>
                <c:pt idx="7">
                  <c:v>29</c:v>
                </c:pt>
                <c:pt idx="8">
                  <c:v>24</c:v>
                </c:pt>
                <c:pt idx="9">
                  <c:v>15.3</c:v>
                </c:pt>
                <c:pt idx="10">
                  <c:v>18</c:v>
                </c:pt>
                <c:pt idx="11">
                  <c:v>25.46</c:v>
                </c:pt>
                <c:pt idx="12">
                  <c:v>32.299999999999997</c:v>
                </c:pt>
                <c:pt idx="13">
                  <c:v>28.8</c:v>
                </c:pt>
                <c:pt idx="14">
                  <c:v>18</c:v>
                </c:pt>
                <c:pt idx="15">
                  <c:v>25.2</c:v>
                </c:pt>
                <c:pt idx="16">
                  <c:v>25.2</c:v>
                </c:pt>
                <c:pt idx="17">
                  <c:v>25.46</c:v>
                </c:pt>
                <c:pt idx="18">
                  <c:v>19</c:v>
                </c:pt>
                <c:pt idx="19">
                  <c:v>37.200000000000003</c:v>
                </c:pt>
                <c:pt idx="20">
                  <c:v>47</c:v>
                </c:pt>
                <c:pt idx="21">
                  <c:v>25.18</c:v>
                </c:pt>
                <c:pt idx="22">
                  <c:v>24</c:v>
                </c:pt>
                <c:pt idx="23">
                  <c:v>27.58</c:v>
                </c:pt>
                <c:pt idx="24">
                  <c:v>19.2</c:v>
                </c:pt>
                <c:pt idx="25">
                  <c:v>22</c:v>
                </c:pt>
                <c:pt idx="26">
                  <c:v>24.8</c:v>
                </c:pt>
                <c:pt idx="27">
                  <c:v>20.2</c:v>
                </c:pt>
                <c:pt idx="28">
                  <c:v>21.5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042-4BBF-B4E1-9FEDCE2F015B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pPr>
              <a:solidFill>
                <a:srgbClr val="FF0000"/>
              </a:solidFill>
              <a:ln w="76200">
                <a:solidFill>
                  <a:srgbClr val="FF0000"/>
                </a:solidFill>
              </a:ln>
            </c:spPr>
          </c:marker>
          <c:xVal>
            <c:numRef>
              <c:f>'Hospital passenger ship'!$B$2</c:f>
              <c:numCache>
                <c:formatCode>General</c:formatCode>
                <c:ptCount val="1"/>
                <c:pt idx="0">
                  <c:v>287</c:v>
                </c:pt>
              </c:numCache>
            </c:numRef>
          </c:xVal>
          <c:yVal>
            <c:numRef>
              <c:f>'Hospital passenger ship'!$B$4</c:f>
              <c:numCache>
                <c:formatCode>General</c:formatCode>
                <c:ptCount val="1"/>
                <c:pt idx="0">
                  <c:v>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B97-4EC2-A219-5A23AA2CD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1090363"/>
        <c:axId val="708613379"/>
      </c:scatterChart>
      <c:valAx>
        <c:axId val="1751090363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Loa (m)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708613379"/>
        <c:crosses val="autoZero"/>
        <c:crossBetween val="midCat"/>
      </c:valAx>
      <c:valAx>
        <c:axId val="708613379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Beam (m)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1751090363"/>
        <c:crosses val="autoZero"/>
        <c:crossBetween val="midCat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'Hospital passenger ship'!$L$116:$L$144</c:f>
              <c:numCache>
                <c:formatCode>General</c:formatCode>
                <c:ptCount val="29"/>
                <c:pt idx="0">
                  <c:v>12779</c:v>
                </c:pt>
                <c:pt idx="1">
                  <c:v>9000</c:v>
                </c:pt>
                <c:pt idx="2">
                  <c:v>17300</c:v>
                </c:pt>
                <c:pt idx="3">
                  <c:v>23400</c:v>
                </c:pt>
                <c:pt idx="5">
                  <c:v>12480</c:v>
                </c:pt>
                <c:pt idx="6">
                  <c:v>5400</c:v>
                </c:pt>
                <c:pt idx="7">
                  <c:v>28800</c:v>
                </c:pt>
                <c:pt idx="8">
                  <c:v>13136</c:v>
                </c:pt>
                <c:pt idx="9">
                  <c:v>3520</c:v>
                </c:pt>
                <c:pt idx="10">
                  <c:v>4600</c:v>
                </c:pt>
                <c:pt idx="11">
                  <c:v>13500</c:v>
                </c:pt>
                <c:pt idx="12">
                  <c:v>35000</c:v>
                </c:pt>
                <c:pt idx="13">
                  <c:v>20000</c:v>
                </c:pt>
                <c:pt idx="14">
                  <c:v>4600</c:v>
                </c:pt>
                <c:pt idx="15">
                  <c:v>13240</c:v>
                </c:pt>
                <c:pt idx="16">
                  <c:v>13420</c:v>
                </c:pt>
                <c:pt idx="17">
                  <c:v>13500</c:v>
                </c:pt>
                <c:pt idx="18">
                  <c:v>7280</c:v>
                </c:pt>
                <c:pt idx="19">
                  <c:v>75600</c:v>
                </c:pt>
                <c:pt idx="20">
                  <c:v>97200</c:v>
                </c:pt>
                <c:pt idx="21">
                  <c:v>19124</c:v>
                </c:pt>
                <c:pt idx="22">
                  <c:v>21600</c:v>
                </c:pt>
                <c:pt idx="23">
                  <c:v>21720</c:v>
                </c:pt>
                <c:pt idx="24">
                  <c:v>9000</c:v>
                </c:pt>
                <c:pt idx="25">
                  <c:v>12422</c:v>
                </c:pt>
                <c:pt idx="26">
                  <c:v>21000</c:v>
                </c:pt>
                <c:pt idx="27">
                  <c:v>7920</c:v>
                </c:pt>
                <c:pt idx="28">
                  <c:v>13800</c:v>
                </c:pt>
              </c:numCache>
            </c:numRef>
          </c:xVal>
          <c:yVal>
            <c:numRef>
              <c:f>'Hospital passenger ship'!$R$116:$R$144</c:f>
              <c:numCache>
                <c:formatCode>General</c:formatCode>
                <c:ptCount val="29"/>
                <c:pt idx="0">
                  <c:v>380</c:v>
                </c:pt>
                <c:pt idx="1">
                  <c:v>451</c:v>
                </c:pt>
                <c:pt idx="2">
                  <c:v>624</c:v>
                </c:pt>
                <c:pt idx="3">
                  <c:v>1800</c:v>
                </c:pt>
                <c:pt idx="4">
                  <c:v>641</c:v>
                </c:pt>
                <c:pt idx="5">
                  <c:v>474</c:v>
                </c:pt>
                <c:pt idx="7">
                  <c:v>2500</c:v>
                </c:pt>
                <c:pt idx="8">
                  <c:v>650</c:v>
                </c:pt>
                <c:pt idx="11">
                  <c:v>826</c:v>
                </c:pt>
                <c:pt idx="12">
                  <c:v>3605</c:v>
                </c:pt>
                <c:pt idx="13">
                  <c:v>2200</c:v>
                </c:pt>
                <c:pt idx="14">
                  <c:v>264</c:v>
                </c:pt>
                <c:pt idx="15">
                  <c:v>536</c:v>
                </c:pt>
                <c:pt idx="16">
                  <c:v>812</c:v>
                </c:pt>
                <c:pt idx="17">
                  <c:v>824</c:v>
                </c:pt>
                <c:pt idx="18">
                  <c:v>208</c:v>
                </c:pt>
                <c:pt idx="19">
                  <c:v>4631</c:v>
                </c:pt>
                <c:pt idx="20">
                  <c:v>6296</c:v>
                </c:pt>
                <c:pt idx="21">
                  <c:v>1409</c:v>
                </c:pt>
                <c:pt idx="22">
                  <c:v>408</c:v>
                </c:pt>
                <c:pt idx="23">
                  <c:v>1186</c:v>
                </c:pt>
                <c:pt idx="24">
                  <c:v>490</c:v>
                </c:pt>
                <c:pt idx="25">
                  <c:v>745</c:v>
                </c:pt>
                <c:pt idx="26">
                  <c:v>490</c:v>
                </c:pt>
                <c:pt idx="27">
                  <c:v>280</c:v>
                </c:pt>
                <c:pt idx="28">
                  <c:v>578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5D0-4AF1-9A00-F6838D7ED29F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76200">
                <a:solidFill>
                  <a:srgbClr val="FF0000"/>
                </a:solidFill>
              </a:ln>
              <a:effectLst/>
            </c:spPr>
          </c:marker>
          <c:xVal>
            <c:numRef>
              <c:f>'Hospital passenger ship'!$B$11</c:f>
              <c:numCache>
                <c:formatCode>General</c:formatCode>
                <c:ptCount val="1"/>
                <c:pt idx="0">
                  <c:v>50000</c:v>
                </c:pt>
              </c:numCache>
            </c:numRef>
          </c:xVal>
          <c:yVal>
            <c:numRef>
              <c:f>'Hospital passenger ship'!$B$12</c:f>
              <c:numCache>
                <c:formatCode>General</c:formatCode>
                <c:ptCount val="1"/>
                <c:pt idx="0">
                  <c:v>3000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E69-4381-A80D-809C40B37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2390768"/>
        <c:axId val="1699846458"/>
      </c:scatterChart>
      <c:valAx>
        <c:axId val="1282390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power (kW)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9846458"/>
        <c:crosses val="autoZero"/>
        <c:crossBetween val="midCat"/>
      </c:valAx>
      <c:valAx>
        <c:axId val="169984645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Beds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2390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1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0"/>
          </c:trendline>
          <c:xVal>
            <c:numRef>
              <c:f>Cruise!$D$104:$D$342</c:f>
              <c:numCache>
                <c:formatCode>General</c:formatCode>
                <c:ptCount val="239"/>
                <c:pt idx="0">
                  <c:v>4375</c:v>
                </c:pt>
                <c:pt idx="1">
                  <c:v>6296</c:v>
                </c:pt>
                <c:pt idx="2">
                  <c:v>3807</c:v>
                </c:pt>
                <c:pt idx="3">
                  <c:v>2194</c:v>
                </c:pt>
                <c:pt idx="4">
                  <c:v>6296</c:v>
                </c:pt>
                <c:pt idx="6">
                  <c:v>4905</c:v>
                </c:pt>
                <c:pt idx="7">
                  <c:v>702</c:v>
                </c:pt>
                <c:pt idx="8">
                  <c:v>3782</c:v>
                </c:pt>
                <c:pt idx="9">
                  <c:v>4631</c:v>
                </c:pt>
                <c:pt idx="10">
                  <c:v>3700</c:v>
                </c:pt>
                <c:pt idx="11">
                  <c:v>3400</c:v>
                </c:pt>
                <c:pt idx="12">
                  <c:v>4631</c:v>
                </c:pt>
                <c:pt idx="14">
                  <c:v>2594</c:v>
                </c:pt>
                <c:pt idx="15">
                  <c:v>3700</c:v>
                </c:pt>
                <c:pt idx="16">
                  <c:v>2680</c:v>
                </c:pt>
                <c:pt idx="17">
                  <c:v>4631</c:v>
                </c:pt>
                <c:pt idx="19">
                  <c:v>3934</c:v>
                </c:pt>
                <c:pt idx="20">
                  <c:v>2150</c:v>
                </c:pt>
                <c:pt idx="21">
                  <c:v>2681</c:v>
                </c:pt>
                <c:pt idx="22">
                  <c:v>3046</c:v>
                </c:pt>
                <c:pt idx="27">
                  <c:v>96</c:v>
                </c:pt>
                <c:pt idx="28">
                  <c:v>2500</c:v>
                </c:pt>
                <c:pt idx="29">
                  <c:v>122</c:v>
                </c:pt>
                <c:pt idx="30">
                  <c:v>128</c:v>
                </c:pt>
                <c:pt idx="31">
                  <c:v>128</c:v>
                </c:pt>
                <c:pt idx="32">
                  <c:v>296</c:v>
                </c:pt>
                <c:pt idx="33">
                  <c:v>2750</c:v>
                </c:pt>
                <c:pt idx="34">
                  <c:v>2590</c:v>
                </c:pt>
                <c:pt idx="35">
                  <c:v>114</c:v>
                </c:pt>
                <c:pt idx="36">
                  <c:v>1070</c:v>
                </c:pt>
                <c:pt idx="37">
                  <c:v>1070</c:v>
                </c:pt>
                <c:pt idx="38">
                  <c:v>922</c:v>
                </c:pt>
                <c:pt idx="39">
                  <c:v>2250</c:v>
                </c:pt>
                <c:pt idx="40">
                  <c:v>3100</c:v>
                </c:pt>
                <c:pt idx="41">
                  <c:v>4000</c:v>
                </c:pt>
                <c:pt idx="42">
                  <c:v>4000</c:v>
                </c:pt>
                <c:pt idx="44">
                  <c:v>186</c:v>
                </c:pt>
                <c:pt idx="45">
                  <c:v>3782</c:v>
                </c:pt>
                <c:pt idx="46">
                  <c:v>2730</c:v>
                </c:pt>
                <c:pt idx="47">
                  <c:v>500</c:v>
                </c:pt>
                <c:pt idx="48">
                  <c:v>3840</c:v>
                </c:pt>
                <c:pt idx="50">
                  <c:v>440</c:v>
                </c:pt>
                <c:pt idx="51">
                  <c:v>575</c:v>
                </c:pt>
                <c:pt idx="52">
                  <c:v>4375</c:v>
                </c:pt>
                <c:pt idx="53">
                  <c:v>111</c:v>
                </c:pt>
                <c:pt idx="54">
                  <c:v>2800</c:v>
                </c:pt>
                <c:pt idx="55">
                  <c:v>3352</c:v>
                </c:pt>
                <c:pt idx="56">
                  <c:v>6780</c:v>
                </c:pt>
                <c:pt idx="57">
                  <c:v>3959</c:v>
                </c:pt>
                <c:pt idx="58">
                  <c:v>1400</c:v>
                </c:pt>
                <c:pt idx="59">
                  <c:v>4375</c:v>
                </c:pt>
                <c:pt idx="61">
                  <c:v>684</c:v>
                </c:pt>
                <c:pt idx="62">
                  <c:v>2200</c:v>
                </c:pt>
                <c:pt idx="63">
                  <c:v>114</c:v>
                </c:pt>
                <c:pt idx="64">
                  <c:v>2110</c:v>
                </c:pt>
                <c:pt idx="65">
                  <c:v>2650</c:v>
                </c:pt>
                <c:pt idx="66">
                  <c:v>199</c:v>
                </c:pt>
                <c:pt idx="67">
                  <c:v>95</c:v>
                </c:pt>
                <c:pt idx="68">
                  <c:v>4375</c:v>
                </c:pt>
                <c:pt idx="70">
                  <c:v>3560</c:v>
                </c:pt>
                <c:pt idx="71">
                  <c:v>2744</c:v>
                </c:pt>
                <c:pt idx="72">
                  <c:v>2500</c:v>
                </c:pt>
                <c:pt idx="73">
                  <c:v>1400</c:v>
                </c:pt>
                <c:pt idx="74">
                  <c:v>3807</c:v>
                </c:pt>
                <c:pt idx="75">
                  <c:v>2500</c:v>
                </c:pt>
                <c:pt idx="76">
                  <c:v>4500</c:v>
                </c:pt>
                <c:pt idx="77">
                  <c:v>164</c:v>
                </c:pt>
                <c:pt idx="78">
                  <c:v>500</c:v>
                </c:pt>
                <c:pt idx="79">
                  <c:v>184</c:v>
                </c:pt>
                <c:pt idx="80">
                  <c:v>3900</c:v>
                </c:pt>
                <c:pt idx="82">
                  <c:v>3900</c:v>
                </c:pt>
                <c:pt idx="83">
                  <c:v>3959</c:v>
                </c:pt>
                <c:pt idx="85">
                  <c:v>3900</c:v>
                </c:pt>
                <c:pt idx="87">
                  <c:v>208</c:v>
                </c:pt>
                <c:pt idx="88">
                  <c:v>148</c:v>
                </c:pt>
                <c:pt idx="89">
                  <c:v>1368</c:v>
                </c:pt>
                <c:pt idx="90">
                  <c:v>490</c:v>
                </c:pt>
                <c:pt idx="91">
                  <c:v>3807</c:v>
                </c:pt>
                <c:pt idx="92">
                  <c:v>2000</c:v>
                </c:pt>
                <c:pt idx="93">
                  <c:v>4500</c:v>
                </c:pt>
                <c:pt idx="95">
                  <c:v>5183</c:v>
                </c:pt>
                <c:pt idx="96">
                  <c:v>4266</c:v>
                </c:pt>
                <c:pt idx="97">
                  <c:v>4028</c:v>
                </c:pt>
                <c:pt idx="98">
                  <c:v>3883</c:v>
                </c:pt>
                <c:pt idx="99">
                  <c:v>252</c:v>
                </c:pt>
                <c:pt idx="100">
                  <c:v>900</c:v>
                </c:pt>
                <c:pt idx="101">
                  <c:v>106</c:v>
                </c:pt>
                <c:pt idx="102">
                  <c:v>4905</c:v>
                </c:pt>
                <c:pt idx="103">
                  <c:v>4184</c:v>
                </c:pt>
                <c:pt idx="104">
                  <c:v>4184</c:v>
                </c:pt>
                <c:pt idx="105">
                  <c:v>3090</c:v>
                </c:pt>
                <c:pt idx="106">
                  <c:v>4028</c:v>
                </c:pt>
                <c:pt idx="107">
                  <c:v>900</c:v>
                </c:pt>
                <c:pt idx="108">
                  <c:v>3560</c:v>
                </c:pt>
                <c:pt idx="109">
                  <c:v>1368</c:v>
                </c:pt>
                <c:pt idx="110">
                  <c:v>2500</c:v>
                </c:pt>
                <c:pt idx="111">
                  <c:v>1700</c:v>
                </c:pt>
                <c:pt idx="112">
                  <c:v>3600</c:v>
                </c:pt>
                <c:pt idx="113">
                  <c:v>710</c:v>
                </c:pt>
                <c:pt idx="115">
                  <c:v>260</c:v>
                </c:pt>
                <c:pt idx="116">
                  <c:v>212</c:v>
                </c:pt>
                <c:pt idx="117">
                  <c:v>450</c:v>
                </c:pt>
                <c:pt idx="118">
                  <c:v>212</c:v>
                </c:pt>
                <c:pt idx="119">
                  <c:v>108</c:v>
                </c:pt>
                <c:pt idx="120">
                  <c:v>750</c:v>
                </c:pt>
                <c:pt idx="121">
                  <c:v>504</c:v>
                </c:pt>
                <c:pt idx="122">
                  <c:v>745</c:v>
                </c:pt>
                <c:pt idx="123">
                  <c:v>764</c:v>
                </c:pt>
                <c:pt idx="124">
                  <c:v>3013</c:v>
                </c:pt>
                <c:pt idx="125">
                  <c:v>2852</c:v>
                </c:pt>
                <c:pt idx="126">
                  <c:v>132</c:v>
                </c:pt>
                <c:pt idx="127">
                  <c:v>1080</c:v>
                </c:pt>
                <c:pt idx="128">
                  <c:v>900</c:v>
                </c:pt>
                <c:pt idx="129">
                  <c:v>1080</c:v>
                </c:pt>
                <c:pt idx="130">
                  <c:v>114</c:v>
                </c:pt>
                <c:pt idx="131">
                  <c:v>2076</c:v>
                </c:pt>
                <c:pt idx="132">
                  <c:v>1964</c:v>
                </c:pt>
                <c:pt idx="133">
                  <c:v>699</c:v>
                </c:pt>
                <c:pt idx="134">
                  <c:v>930</c:v>
                </c:pt>
                <c:pt idx="135">
                  <c:v>930</c:v>
                </c:pt>
                <c:pt idx="136">
                  <c:v>2416</c:v>
                </c:pt>
                <c:pt idx="137">
                  <c:v>1400</c:v>
                </c:pt>
                <c:pt idx="138">
                  <c:v>3840</c:v>
                </c:pt>
                <c:pt idx="139">
                  <c:v>764</c:v>
                </c:pt>
                <c:pt idx="140">
                  <c:v>296</c:v>
                </c:pt>
                <c:pt idx="141">
                  <c:v>12</c:v>
                </c:pt>
              </c:numCache>
            </c:numRef>
          </c:xVal>
          <c:yVal>
            <c:numRef>
              <c:f>Cruise!$I$104:$I$342</c:f>
              <c:numCache>
                <c:formatCode>General</c:formatCode>
                <c:ptCount val="239"/>
                <c:pt idx="0">
                  <c:v>339</c:v>
                </c:pt>
                <c:pt idx="1">
                  <c:v>362</c:v>
                </c:pt>
                <c:pt idx="2">
                  <c:v>310</c:v>
                </c:pt>
                <c:pt idx="3">
                  <c:v>253.3</c:v>
                </c:pt>
                <c:pt idx="4">
                  <c:v>362</c:v>
                </c:pt>
                <c:pt idx="5">
                  <c:v>362</c:v>
                </c:pt>
                <c:pt idx="6">
                  <c:v>348</c:v>
                </c:pt>
                <c:pt idx="7">
                  <c:v>181</c:v>
                </c:pt>
                <c:pt idx="8">
                  <c:v>290</c:v>
                </c:pt>
                <c:pt idx="9">
                  <c:v>306</c:v>
                </c:pt>
                <c:pt idx="10">
                  <c:v>290</c:v>
                </c:pt>
                <c:pt idx="11">
                  <c:v>272</c:v>
                </c:pt>
                <c:pt idx="12">
                  <c:v>306</c:v>
                </c:pt>
                <c:pt idx="13">
                  <c:v>308</c:v>
                </c:pt>
                <c:pt idx="14">
                  <c:v>260.60000000000002</c:v>
                </c:pt>
                <c:pt idx="15">
                  <c:v>290</c:v>
                </c:pt>
                <c:pt idx="16">
                  <c:v>292.5</c:v>
                </c:pt>
                <c:pt idx="17">
                  <c:v>306</c:v>
                </c:pt>
                <c:pt idx="18">
                  <c:v>305</c:v>
                </c:pt>
                <c:pt idx="19">
                  <c:v>324</c:v>
                </c:pt>
                <c:pt idx="20">
                  <c:v>246</c:v>
                </c:pt>
                <c:pt idx="21">
                  <c:v>263.89999999999998</c:v>
                </c:pt>
                <c:pt idx="22">
                  <c:v>319</c:v>
                </c:pt>
                <c:pt idx="23">
                  <c:v>315</c:v>
                </c:pt>
                <c:pt idx="24">
                  <c:v>319</c:v>
                </c:pt>
                <c:pt idx="25">
                  <c:v>315</c:v>
                </c:pt>
                <c:pt idx="26">
                  <c:v>319</c:v>
                </c:pt>
                <c:pt idx="27">
                  <c:v>88.5</c:v>
                </c:pt>
                <c:pt idx="28">
                  <c:v>191</c:v>
                </c:pt>
                <c:pt idx="29">
                  <c:v>100.01</c:v>
                </c:pt>
                <c:pt idx="30">
                  <c:v>104</c:v>
                </c:pt>
                <c:pt idx="31">
                  <c:v>104</c:v>
                </c:pt>
                <c:pt idx="32">
                  <c:v>90.220800000000011</c:v>
                </c:pt>
                <c:pt idx="33">
                  <c:v>223.7</c:v>
                </c:pt>
                <c:pt idx="34">
                  <c:v>294</c:v>
                </c:pt>
                <c:pt idx="35">
                  <c:v>91</c:v>
                </c:pt>
                <c:pt idx="36">
                  <c:v>250</c:v>
                </c:pt>
                <c:pt idx="37">
                  <c:v>250</c:v>
                </c:pt>
                <c:pt idx="38">
                  <c:v>238</c:v>
                </c:pt>
                <c:pt idx="39">
                  <c:v>261.3</c:v>
                </c:pt>
                <c:pt idx="40">
                  <c:v>290</c:v>
                </c:pt>
                <c:pt idx="41">
                  <c:v>340</c:v>
                </c:pt>
                <c:pt idx="42">
                  <c:v>340</c:v>
                </c:pt>
                <c:pt idx="43">
                  <c:v>340</c:v>
                </c:pt>
                <c:pt idx="44">
                  <c:v>88.3</c:v>
                </c:pt>
                <c:pt idx="45">
                  <c:v>290</c:v>
                </c:pt>
                <c:pt idx="46">
                  <c:v>301.8</c:v>
                </c:pt>
                <c:pt idx="47">
                  <c:v>218.8</c:v>
                </c:pt>
                <c:pt idx="48">
                  <c:v>310</c:v>
                </c:pt>
                <c:pt idx="49">
                  <c:v>311</c:v>
                </c:pt>
                <c:pt idx="50">
                  <c:v>188.3</c:v>
                </c:pt>
                <c:pt idx="51">
                  <c:v>216.8</c:v>
                </c:pt>
                <c:pt idx="52">
                  <c:v>339</c:v>
                </c:pt>
                <c:pt idx="53">
                  <c:v>89.35</c:v>
                </c:pt>
                <c:pt idx="54">
                  <c:v>212.1</c:v>
                </c:pt>
                <c:pt idx="55">
                  <c:v>335.3</c:v>
                </c:pt>
                <c:pt idx="56">
                  <c:v>362.12</c:v>
                </c:pt>
                <c:pt idx="57">
                  <c:v>333.33</c:v>
                </c:pt>
                <c:pt idx="58">
                  <c:v>108.2</c:v>
                </c:pt>
                <c:pt idx="59">
                  <c:v>339</c:v>
                </c:pt>
                <c:pt idx="60">
                  <c:v>339</c:v>
                </c:pt>
                <c:pt idx="61">
                  <c:v>208.48320000000001</c:v>
                </c:pt>
                <c:pt idx="62">
                  <c:v>171.2</c:v>
                </c:pt>
                <c:pt idx="63">
                  <c:v>90</c:v>
                </c:pt>
                <c:pt idx="64">
                  <c:v>293.2</c:v>
                </c:pt>
                <c:pt idx="65">
                  <c:v>297</c:v>
                </c:pt>
                <c:pt idx="66">
                  <c:v>142</c:v>
                </c:pt>
                <c:pt idx="67">
                  <c:v>100</c:v>
                </c:pt>
                <c:pt idx="68">
                  <c:v>339</c:v>
                </c:pt>
                <c:pt idx="69">
                  <c:v>339</c:v>
                </c:pt>
                <c:pt idx="70">
                  <c:v>330</c:v>
                </c:pt>
                <c:pt idx="71">
                  <c:v>268.2</c:v>
                </c:pt>
                <c:pt idx="72">
                  <c:v>251</c:v>
                </c:pt>
                <c:pt idx="73">
                  <c:v>216</c:v>
                </c:pt>
                <c:pt idx="74">
                  <c:v>310</c:v>
                </c:pt>
                <c:pt idx="75">
                  <c:v>296</c:v>
                </c:pt>
                <c:pt idx="76">
                  <c:v>315.8</c:v>
                </c:pt>
                <c:pt idx="77">
                  <c:v>111</c:v>
                </c:pt>
                <c:pt idx="78">
                  <c:v>200</c:v>
                </c:pt>
                <c:pt idx="79">
                  <c:v>122.8</c:v>
                </c:pt>
                <c:pt idx="80">
                  <c:v>333</c:v>
                </c:pt>
                <c:pt idx="81">
                  <c:v>333</c:v>
                </c:pt>
                <c:pt idx="82">
                  <c:v>333</c:v>
                </c:pt>
                <c:pt idx="83">
                  <c:v>333</c:v>
                </c:pt>
                <c:pt idx="84">
                  <c:v>333</c:v>
                </c:pt>
                <c:pt idx="85">
                  <c:v>333</c:v>
                </c:pt>
                <c:pt idx="86">
                  <c:v>333</c:v>
                </c:pt>
                <c:pt idx="87">
                  <c:v>135</c:v>
                </c:pt>
                <c:pt idx="88">
                  <c:v>112</c:v>
                </c:pt>
                <c:pt idx="89">
                  <c:v>181</c:v>
                </c:pt>
                <c:pt idx="90">
                  <c:v>170.69</c:v>
                </c:pt>
                <c:pt idx="91">
                  <c:v>310</c:v>
                </c:pt>
                <c:pt idx="92">
                  <c:v>154.4</c:v>
                </c:pt>
                <c:pt idx="93">
                  <c:v>324</c:v>
                </c:pt>
                <c:pt idx="94">
                  <c:v>325</c:v>
                </c:pt>
                <c:pt idx="95">
                  <c:v>329</c:v>
                </c:pt>
                <c:pt idx="96">
                  <c:v>325.89999999999998</c:v>
                </c:pt>
                <c:pt idx="97">
                  <c:v>325.7</c:v>
                </c:pt>
                <c:pt idx="98">
                  <c:v>333.5</c:v>
                </c:pt>
                <c:pt idx="99">
                  <c:v>124.19</c:v>
                </c:pt>
                <c:pt idx="100">
                  <c:v>198.19</c:v>
                </c:pt>
                <c:pt idx="101">
                  <c:v>102.7</c:v>
                </c:pt>
                <c:pt idx="102">
                  <c:v>347.77680000000004</c:v>
                </c:pt>
                <c:pt idx="103">
                  <c:v>294</c:v>
                </c:pt>
                <c:pt idx="104">
                  <c:v>294</c:v>
                </c:pt>
                <c:pt idx="105">
                  <c:v>345</c:v>
                </c:pt>
                <c:pt idx="106">
                  <c:v>294</c:v>
                </c:pt>
                <c:pt idx="107">
                  <c:v>198</c:v>
                </c:pt>
                <c:pt idx="108">
                  <c:v>330</c:v>
                </c:pt>
                <c:pt idx="109">
                  <c:v>181</c:v>
                </c:pt>
                <c:pt idx="110">
                  <c:v>251</c:v>
                </c:pt>
                <c:pt idx="111">
                  <c:v>136.12</c:v>
                </c:pt>
                <c:pt idx="112">
                  <c:v>330</c:v>
                </c:pt>
                <c:pt idx="113">
                  <c:v>181</c:v>
                </c:pt>
                <c:pt idx="114">
                  <c:v>329</c:v>
                </c:pt>
                <c:pt idx="115">
                  <c:v>154.41</c:v>
                </c:pt>
                <c:pt idx="116">
                  <c:v>135</c:v>
                </c:pt>
                <c:pt idx="117">
                  <c:v>198</c:v>
                </c:pt>
                <c:pt idx="118">
                  <c:v>134.1</c:v>
                </c:pt>
                <c:pt idx="119">
                  <c:v>104.81</c:v>
                </c:pt>
                <c:pt idx="120">
                  <c:v>224</c:v>
                </c:pt>
                <c:pt idx="121">
                  <c:v>170.6</c:v>
                </c:pt>
                <c:pt idx="122">
                  <c:v>204.1</c:v>
                </c:pt>
                <c:pt idx="123">
                  <c:v>232.86720000000003</c:v>
                </c:pt>
                <c:pt idx="124">
                  <c:v>202</c:v>
                </c:pt>
                <c:pt idx="125">
                  <c:v>203.03</c:v>
                </c:pt>
                <c:pt idx="126">
                  <c:v>108</c:v>
                </c:pt>
                <c:pt idx="127">
                  <c:v>196</c:v>
                </c:pt>
                <c:pt idx="128">
                  <c:v>198</c:v>
                </c:pt>
                <c:pt idx="129">
                  <c:v>329.18400000000003</c:v>
                </c:pt>
                <c:pt idx="130">
                  <c:v>90</c:v>
                </c:pt>
                <c:pt idx="131">
                  <c:v>264.2</c:v>
                </c:pt>
                <c:pt idx="132">
                  <c:v>268.60000000000002</c:v>
                </c:pt>
                <c:pt idx="133">
                  <c:v>194</c:v>
                </c:pt>
                <c:pt idx="134">
                  <c:v>228.2</c:v>
                </c:pt>
                <c:pt idx="135">
                  <c:v>228</c:v>
                </c:pt>
                <c:pt idx="136">
                  <c:v>279</c:v>
                </c:pt>
                <c:pt idx="137">
                  <c:v>206.5</c:v>
                </c:pt>
                <c:pt idx="138">
                  <c:v>310</c:v>
                </c:pt>
                <c:pt idx="139">
                  <c:v>232.86720000000003</c:v>
                </c:pt>
                <c:pt idx="140">
                  <c:v>90.220800000000011</c:v>
                </c:pt>
                <c:pt idx="141">
                  <c:v>186.02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143-42A0-BD72-60279CF96A43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76200">
                <a:solidFill>
                  <a:srgbClr val="FF0000"/>
                </a:solidFill>
              </a:ln>
              <a:effectLst/>
            </c:spPr>
          </c:marker>
          <c:xVal>
            <c:numRef>
              <c:f>Cruise!$B$9</c:f>
              <c:numCache>
                <c:formatCode>General</c:formatCode>
                <c:ptCount val="1"/>
                <c:pt idx="0">
                  <c:v>2000</c:v>
                </c:pt>
              </c:numCache>
            </c:numRef>
          </c:xVal>
          <c:yVal>
            <c:numRef>
              <c:f>Cruise!$B$2</c:f>
              <c:numCache>
                <c:formatCode>General</c:formatCode>
                <c:ptCount val="1"/>
                <c:pt idx="0">
                  <c:v>280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E99-4C04-884C-EFB7A2DA8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1052592"/>
        <c:axId val="541049312"/>
      </c:scatterChart>
      <c:valAx>
        <c:axId val="541052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PASSENGERS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049312"/>
        <c:crosses val="autoZero"/>
        <c:crossBetween val="midCat"/>
      </c:valAx>
      <c:valAx>
        <c:axId val="54104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052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6"/>
            <c:spPr>
              <a:solidFill>
                <a:srgbClr val="4684EE"/>
              </a:solidFill>
              <a:ln cmpd="sng">
                <a:solidFill>
                  <a:srgbClr val="4684EE"/>
                </a:solidFill>
              </a:ln>
            </c:spPr>
          </c:marker>
          <c:trendline>
            <c:spPr>
              <a:ln w="9525">
                <a:solidFill>
                  <a:srgbClr val="004586"/>
                </a:solidFill>
              </a:ln>
            </c:spPr>
            <c:trendlineType val="linear"/>
            <c:dispRSqr val="0"/>
            <c:dispEq val="0"/>
          </c:trendline>
          <c:xVal>
            <c:numRef>
              <c:f>'Hospital passenger ship'!$H$116:$H$144</c:f>
              <c:numCache>
                <c:formatCode>General</c:formatCode>
                <c:ptCount val="29"/>
                <c:pt idx="0">
                  <c:v>21</c:v>
                </c:pt>
                <c:pt idx="1">
                  <c:v>19.5</c:v>
                </c:pt>
                <c:pt idx="2">
                  <c:v>24.7</c:v>
                </c:pt>
                <c:pt idx="3">
                  <c:v>28</c:v>
                </c:pt>
                <c:pt idx="4">
                  <c:v>28.6</c:v>
                </c:pt>
                <c:pt idx="5">
                  <c:v>23.7</c:v>
                </c:pt>
                <c:pt idx="6">
                  <c:v>17.7</c:v>
                </c:pt>
                <c:pt idx="7">
                  <c:v>29</c:v>
                </c:pt>
                <c:pt idx="8">
                  <c:v>24</c:v>
                </c:pt>
                <c:pt idx="9">
                  <c:v>15.3</c:v>
                </c:pt>
                <c:pt idx="10">
                  <c:v>18</c:v>
                </c:pt>
                <c:pt idx="11">
                  <c:v>25.46</c:v>
                </c:pt>
                <c:pt idx="12">
                  <c:v>32.299999999999997</c:v>
                </c:pt>
                <c:pt idx="13">
                  <c:v>28.8</c:v>
                </c:pt>
                <c:pt idx="14">
                  <c:v>18</c:v>
                </c:pt>
                <c:pt idx="15">
                  <c:v>25.2</c:v>
                </c:pt>
                <c:pt idx="16">
                  <c:v>25.2</c:v>
                </c:pt>
                <c:pt idx="17">
                  <c:v>25.46</c:v>
                </c:pt>
                <c:pt idx="18">
                  <c:v>19</c:v>
                </c:pt>
                <c:pt idx="19">
                  <c:v>37.200000000000003</c:v>
                </c:pt>
                <c:pt idx="20">
                  <c:v>47</c:v>
                </c:pt>
                <c:pt idx="21">
                  <c:v>25.18</c:v>
                </c:pt>
                <c:pt idx="22">
                  <c:v>24</c:v>
                </c:pt>
                <c:pt idx="23">
                  <c:v>27.58</c:v>
                </c:pt>
                <c:pt idx="24">
                  <c:v>19.2</c:v>
                </c:pt>
                <c:pt idx="25">
                  <c:v>22</c:v>
                </c:pt>
                <c:pt idx="26">
                  <c:v>24.8</c:v>
                </c:pt>
                <c:pt idx="27">
                  <c:v>20.2</c:v>
                </c:pt>
                <c:pt idx="28">
                  <c:v>21.5</c:v>
                </c:pt>
              </c:numCache>
            </c:numRef>
          </c:xVal>
          <c:yVal>
            <c:numRef>
              <c:f>'Hospital passenger ship'!$I$116:$I$144</c:f>
              <c:numCache>
                <c:formatCode>General</c:formatCode>
                <c:ptCount val="29"/>
                <c:pt idx="0">
                  <c:v>5.8</c:v>
                </c:pt>
                <c:pt idx="1">
                  <c:v>4.7</c:v>
                </c:pt>
                <c:pt idx="2">
                  <c:v>6.2</c:v>
                </c:pt>
                <c:pt idx="3">
                  <c:v>6.6159999999999997</c:v>
                </c:pt>
                <c:pt idx="4">
                  <c:v>6.15</c:v>
                </c:pt>
                <c:pt idx="5">
                  <c:v>6</c:v>
                </c:pt>
                <c:pt idx="6">
                  <c:v>5.5</c:v>
                </c:pt>
                <c:pt idx="7">
                  <c:v>6.74</c:v>
                </c:pt>
                <c:pt idx="8">
                  <c:v>6.52</c:v>
                </c:pt>
                <c:pt idx="9">
                  <c:v>4.2</c:v>
                </c:pt>
                <c:pt idx="10">
                  <c:v>4.8</c:v>
                </c:pt>
                <c:pt idx="11">
                  <c:v>5.95</c:v>
                </c:pt>
                <c:pt idx="12">
                  <c:v>7.85</c:v>
                </c:pt>
                <c:pt idx="13">
                  <c:v>6.81</c:v>
                </c:pt>
                <c:pt idx="14">
                  <c:v>4.8</c:v>
                </c:pt>
                <c:pt idx="15">
                  <c:v>7.5469999999999997</c:v>
                </c:pt>
                <c:pt idx="16">
                  <c:v>7.5469999999999997</c:v>
                </c:pt>
                <c:pt idx="17">
                  <c:v>5.95</c:v>
                </c:pt>
                <c:pt idx="18">
                  <c:v>5.415</c:v>
                </c:pt>
                <c:pt idx="19">
                  <c:v>8.3000000000000007</c:v>
                </c:pt>
                <c:pt idx="20">
                  <c:v>9.3219999999999992</c:v>
                </c:pt>
                <c:pt idx="21">
                  <c:v>5.9130000000000003</c:v>
                </c:pt>
                <c:pt idx="22">
                  <c:v>6</c:v>
                </c:pt>
                <c:pt idx="23">
                  <c:v>6.19</c:v>
                </c:pt>
                <c:pt idx="24">
                  <c:v>4.7</c:v>
                </c:pt>
                <c:pt idx="25">
                  <c:v>6.2</c:v>
                </c:pt>
                <c:pt idx="26">
                  <c:v>7.3</c:v>
                </c:pt>
                <c:pt idx="27">
                  <c:v>5.0999999999999996</c:v>
                </c:pt>
                <c:pt idx="28">
                  <c:v>4.8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61E-4EAD-A57F-944A0A2070DE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pPr>
              <a:solidFill>
                <a:srgbClr val="FF0000"/>
              </a:solidFill>
              <a:ln w="76200">
                <a:solidFill>
                  <a:srgbClr val="FF0000"/>
                </a:solidFill>
              </a:ln>
            </c:spPr>
          </c:marker>
          <c:xVal>
            <c:numRef>
              <c:f>'Hospital passenger ship'!$B$4</c:f>
              <c:numCache>
                <c:formatCode>General</c:formatCode>
                <c:ptCount val="1"/>
                <c:pt idx="0">
                  <c:v>37</c:v>
                </c:pt>
              </c:numCache>
            </c:numRef>
          </c:xVal>
          <c:yVal>
            <c:numRef>
              <c:f>'Hospital passenger ship'!$B$5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AB1-4B5A-973F-93367BA6B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6157761"/>
        <c:axId val="1030975964"/>
      </c:scatterChart>
      <c:valAx>
        <c:axId val="2116157761"/>
        <c:scaling>
          <c:orientation val="minMax"/>
          <c:min val="15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Beam (m)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1030975964"/>
        <c:crosses val="autoZero"/>
        <c:crossBetween val="midCat"/>
      </c:valAx>
      <c:valAx>
        <c:axId val="1030975964"/>
        <c:scaling>
          <c:orientation val="minMax"/>
          <c:min val="2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Draft (m)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2116157761"/>
        <c:crosses val="autoZero"/>
        <c:crossBetween val="midCat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57470156992658"/>
          <c:y val="4.4283708091137054E-2"/>
          <c:w val="0.72786994964236573"/>
          <c:h val="0.72094774689463959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4684EE"/>
              </a:solidFill>
              <a:ln cmpd="sng">
                <a:solidFill>
                  <a:srgbClr val="4684EE"/>
                </a:solidFill>
              </a:ln>
            </c:spPr>
          </c:marker>
          <c:trendline>
            <c:spPr>
              <a:ln w="9525">
                <a:solidFill>
                  <a:srgbClr val="004586"/>
                </a:solidFill>
              </a:ln>
            </c:spPr>
            <c:trendlineType val="exp"/>
            <c:dispRSqr val="0"/>
            <c:dispEq val="0"/>
          </c:trendline>
          <c:xVal>
            <c:numRef>
              <c:f>'Hospital passenger ship'!$E$116:$E$144</c:f>
              <c:numCache>
                <c:formatCode>General</c:formatCode>
                <c:ptCount val="29"/>
                <c:pt idx="0">
                  <c:v>137.1</c:v>
                </c:pt>
                <c:pt idx="1">
                  <c:v>123.3</c:v>
                </c:pt>
                <c:pt idx="2">
                  <c:v>192.82</c:v>
                </c:pt>
                <c:pt idx="3">
                  <c:v>177</c:v>
                </c:pt>
                <c:pt idx="4">
                  <c:v>174.1</c:v>
                </c:pt>
                <c:pt idx="5">
                  <c:v>152</c:v>
                </c:pt>
                <c:pt idx="6">
                  <c:v>97.34</c:v>
                </c:pt>
                <c:pt idx="7">
                  <c:v>191</c:v>
                </c:pt>
                <c:pt idx="8">
                  <c:v>174</c:v>
                </c:pt>
                <c:pt idx="9">
                  <c:v>90.6</c:v>
                </c:pt>
                <c:pt idx="10">
                  <c:v>142.1</c:v>
                </c:pt>
                <c:pt idx="11">
                  <c:v>181</c:v>
                </c:pt>
                <c:pt idx="12">
                  <c:v>293.8</c:v>
                </c:pt>
                <c:pt idx="13">
                  <c:v>251.25</c:v>
                </c:pt>
                <c:pt idx="14">
                  <c:v>142.1</c:v>
                </c:pt>
                <c:pt idx="15">
                  <c:v>177.7</c:v>
                </c:pt>
                <c:pt idx="16">
                  <c:v>205.46</c:v>
                </c:pt>
                <c:pt idx="17">
                  <c:v>180.96</c:v>
                </c:pt>
                <c:pt idx="18">
                  <c:v>135</c:v>
                </c:pt>
                <c:pt idx="19">
                  <c:v>306</c:v>
                </c:pt>
                <c:pt idx="20">
                  <c:v>362</c:v>
                </c:pt>
                <c:pt idx="21">
                  <c:v>158.88</c:v>
                </c:pt>
                <c:pt idx="22">
                  <c:v>198.6</c:v>
                </c:pt>
                <c:pt idx="23">
                  <c:v>193.3</c:v>
                </c:pt>
                <c:pt idx="24">
                  <c:v>121.8</c:v>
                </c:pt>
                <c:pt idx="25">
                  <c:v>157</c:v>
                </c:pt>
                <c:pt idx="26">
                  <c:v>170.69</c:v>
                </c:pt>
                <c:pt idx="27">
                  <c:v>113.65</c:v>
                </c:pt>
                <c:pt idx="28">
                  <c:v>138.5</c:v>
                </c:pt>
              </c:numCache>
            </c:numRef>
          </c:xVal>
          <c:yVal>
            <c:numRef>
              <c:f>'Hospital passenger ship'!$D$116:$D$144</c:f>
              <c:numCache>
                <c:formatCode>General</c:formatCode>
                <c:ptCount val="29"/>
                <c:pt idx="0">
                  <c:v>1762</c:v>
                </c:pt>
                <c:pt idx="1">
                  <c:v>1171</c:v>
                </c:pt>
                <c:pt idx="3">
                  <c:v>4022</c:v>
                </c:pt>
                <c:pt idx="4">
                  <c:v>4500</c:v>
                </c:pt>
                <c:pt idx="7">
                  <c:v>3600</c:v>
                </c:pt>
                <c:pt idx="8">
                  <c:v>4863</c:v>
                </c:pt>
                <c:pt idx="9">
                  <c:v>695</c:v>
                </c:pt>
                <c:pt idx="10">
                  <c:v>1400</c:v>
                </c:pt>
                <c:pt idx="11">
                  <c:v>2700</c:v>
                </c:pt>
                <c:pt idx="13">
                  <c:v>6260</c:v>
                </c:pt>
                <c:pt idx="14">
                  <c:v>1400</c:v>
                </c:pt>
                <c:pt idx="15">
                  <c:v>3594</c:v>
                </c:pt>
                <c:pt idx="16">
                  <c:v>5936</c:v>
                </c:pt>
                <c:pt idx="17">
                  <c:v>2700</c:v>
                </c:pt>
                <c:pt idx="18">
                  <c:v>790</c:v>
                </c:pt>
                <c:pt idx="19">
                  <c:v>13814</c:v>
                </c:pt>
                <c:pt idx="20">
                  <c:v>15000</c:v>
                </c:pt>
                <c:pt idx="21">
                  <c:v>1703</c:v>
                </c:pt>
                <c:pt idx="23">
                  <c:v>3752</c:v>
                </c:pt>
                <c:pt idx="24">
                  <c:v>902</c:v>
                </c:pt>
                <c:pt idx="25">
                  <c:v>3000</c:v>
                </c:pt>
                <c:pt idx="26">
                  <c:v>3342</c:v>
                </c:pt>
                <c:pt idx="27">
                  <c:v>984</c:v>
                </c:pt>
                <c:pt idx="28">
                  <c:v>945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5E5-46EC-97D4-692984A06B93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pPr>
              <a:solidFill>
                <a:srgbClr val="FF0000"/>
              </a:solidFill>
              <a:ln w="76200">
                <a:solidFill>
                  <a:srgbClr val="FF0000"/>
                </a:solidFill>
              </a:ln>
            </c:spPr>
          </c:marker>
          <c:xVal>
            <c:numRef>
              <c:f>'Hospital passenger ship'!$B$2</c:f>
              <c:numCache>
                <c:formatCode>General</c:formatCode>
                <c:ptCount val="1"/>
                <c:pt idx="0">
                  <c:v>287</c:v>
                </c:pt>
              </c:numCache>
            </c:numRef>
          </c:xVal>
          <c:yVal>
            <c:numRef>
              <c:f>'Hospital passenger ship'!$B$7</c:f>
              <c:numCache>
                <c:formatCode>General</c:formatCode>
                <c:ptCount val="1"/>
                <c:pt idx="0">
                  <c:v>4826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BD9-43CD-B429-6F72C3636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081650"/>
        <c:axId val="1699498618"/>
      </c:scatterChart>
      <c:valAx>
        <c:axId val="40608165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Loa 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1699498618"/>
        <c:crosses val="autoZero"/>
        <c:crossBetween val="midCat"/>
      </c:valAx>
      <c:valAx>
        <c:axId val="169949861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DWT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406081650"/>
        <c:crosses val="autoZero"/>
        <c:crossBetween val="midCat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7"/>
            <c:spPr>
              <a:solidFill>
                <a:srgbClr val="4684EE"/>
              </a:solidFill>
              <a:ln cmpd="sng">
                <a:solidFill>
                  <a:srgbClr val="4684EE"/>
                </a:solidFill>
              </a:ln>
            </c:spPr>
          </c:marker>
          <c:trendline>
            <c:spPr>
              <a:ln w="9525">
                <a:solidFill>
                  <a:srgbClr val="004586"/>
                </a:solidFill>
              </a:ln>
            </c:spPr>
            <c:trendlineType val="exp"/>
            <c:dispRSqr val="0"/>
            <c:dispEq val="0"/>
          </c:trendline>
          <c:xVal>
            <c:numRef>
              <c:f>'Hospital passenger ship'!$D$116:$D$144</c:f>
              <c:numCache>
                <c:formatCode>General</c:formatCode>
                <c:ptCount val="29"/>
                <c:pt idx="0">
                  <c:v>1762</c:v>
                </c:pt>
                <c:pt idx="1">
                  <c:v>1171</c:v>
                </c:pt>
                <c:pt idx="3">
                  <c:v>4022</c:v>
                </c:pt>
                <c:pt idx="4">
                  <c:v>4500</c:v>
                </c:pt>
                <c:pt idx="7">
                  <c:v>3600</c:v>
                </c:pt>
                <c:pt idx="8">
                  <c:v>4863</c:v>
                </c:pt>
                <c:pt idx="9">
                  <c:v>695</c:v>
                </c:pt>
                <c:pt idx="10">
                  <c:v>1400</c:v>
                </c:pt>
                <c:pt idx="11">
                  <c:v>2700</c:v>
                </c:pt>
                <c:pt idx="13">
                  <c:v>6260</c:v>
                </c:pt>
                <c:pt idx="14">
                  <c:v>1400</c:v>
                </c:pt>
                <c:pt idx="15">
                  <c:v>3594</c:v>
                </c:pt>
                <c:pt idx="16">
                  <c:v>5936</c:v>
                </c:pt>
                <c:pt idx="17">
                  <c:v>2700</c:v>
                </c:pt>
                <c:pt idx="18">
                  <c:v>790</c:v>
                </c:pt>
                <c:pt idx="19">
                  <c:v>13814</c:v>
                </c:pt>
                <c:pt idx="20">
                  <c:v>15000</c:v>
                </c:pt>
                <c:pt idx="21">
                  <c:v>1703</c:v>
                </c:pt>
                <c:pt idx="23">
                  <c:v>3752</c:v>
                </c:pt>
                <c:pt idx="24">
                  <c:v>902</c:v>
                </c:pt>
                <c:pt idx="25">
                  <c:v>3000</c:v>
                </c:pt>
                <c:pt idx="26">
                  <c:v>3342</c:v>
                </c:pt>
                <c:pt idx="27">
                  <c:v>984</c:v>
                </c:pt>
                <c:pt idx="28">
                  <c:v>945</c:v>
                </c:pt>
              </c:numCache>
            </c:numRef>
          </c:xVal>
          <c:yVal>
            <c:numRef>
              <c:f>'Hospital passenger ship'!$AG$116:$AG$144</c:f>
              <c:numCache>
                <c:formatCode>General</c:formatCode>
                <c:ptCount val="29"/>
                <c:pt idx="0">
                  <c:v>5.5312903440340877</c:v>
                </c:pt>
                <c:pt idx="1">
                  <c:v>5.6245213552528259</c:v>
                </c:pt>
                <c:pt idx="2">
                  <c:v>6.6554948454984419</c:v>
                </c:pt>
                <c:pt idx="3">
                  <c:v>5.9494882409659899</c:v>
                </c:pt>
                <c:pt idx="4">
                  <c:v>5.4682490688323178</c:v>
                </c:pt>
                <c:pt idx="5">
                  <c:v>5.8109758979729831</c:v>
                </c:pt>
                <c:pt idx="6">
                  <c:v>5.078763301992101</c:v>
                </c:pt>
                <c:pt idx="7">
                  <c:v>6.1037284498488251</c:v>
                </c:pt>
                <c:pt idx="8">
                  <c:v>6.3822869714524257</c:v>
                </c:pt>
                <c:pt idx="9">
                  <c:v>5.4957612509464653</c:v>
                </c:pt>
                <c:pt idx="10">
                  <c:v>6.4498781547264876</c:v>
                </c:pt>
                <c:pt idx="11">
                  <c:v>6.2164848770053425</c:v>
                </c:pt>
                <c:pt idx="12">
                  <c:v>7.441961856800539</c:v>
                </c:pt>
                <c:pt idx="13">
                  <c:v>7.1742475997693731</c:v>
                </c:pt>
                <c:pt idx="14">
                  <c:v>6.4498781547264876</c:v>
                </c:pt>
                <c:pt idx="15">
                  <c:v>5.9220588620907524</c:v>
                </c:pt>
                <c:pt idx="16">
                  <c:v>6.2358332266631713</c:v>
                </c:pt>
                <c:pt idx="17">
                  <c:v>6.2389960660608024</c:v>
                </c:pt>
                <c:pt idx="18">
                  <c:v>5.698575354729063</c:v>
                </c:pt>
                <c:pt idx="19">
                  <c:v>6.9332772008470789</c:v>
                </c:pt>
                <c:pt idx="20">
                  <c:v>6.9601895800880831</c:v>
                </c:pt>
                <c:pt idx="21">
                  <c:v>5.9069554375635915</c:v>
                </c:pt>
                <c:pt idx="22">
                  <c:v>6.9049203000887882</c:v>
                </c:pt>
                <c:pt idx="23">
                  <c:v>6.3575914095767505</c:v>
                </c:pt>
                <c:pt idx="24">
                  <c:v>5.8628102905498762</c:v>
                </c:pt>
                <c:pt idx="25">
                  <c:v>6.1119974459762636</c:v>
                </c:pt>
                <c:pt idx="26">
                  <c:v>5.792706519788438</c:v>
                </c:pt>
                <c:pt idx="27">
                  <c:v>5.3141336821726242</c:v>
                </c:pt>
                <c:pt idx="28">
                  <c:v>5.967191287873038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1CF-45C4-AAE1-7F1DFFE71B17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pPr>
              <a:solidFill>
                <a:srgbClr val="FF0000"/>
              </a:solidFill>
              <a:ln w="76200">
                <a:solidFill>
                  <a:srgbClr val="FF0000"/>
                </a:solidFill>
              </a:ln>
            </c:spPr>
          </c:marker>
          <c:xVal>
            <c:numRef>
              <c:f>'Hospital passenger ship'!$B$7</c:f>
              <c:numCache>
                <c:formatCode>General</c:formatCode>
                <c:ptCount val="1"/>
                <c:pt idx="0">
                  <c:v>4826</c:v>
                </c:pt>
              </c:numCache>
            </c:numRef>
          </c:xVal>
          <c:yVal>
            <c:numRef>
              <c:f>'Hospital passenger ship'!$B$16</c:f>
              <c:numCache>
                <c:formatCode>General</c:formatCode>
                <c:ptCount val="1"/>
                <c:pt idx="0">
                  <c:v>7.0683985547737125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846-42EF-8C0F-3C26480C9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081650"/>
        <c:axId val="1699498618"/>
      </c:scatterChart>
      <c:valAx>
        <c:axId val="40608165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DWT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1699498618"/>
        <c:crosses val="autoZero"/>
        <c:crossBetween val="midCat"/>
      </c:valAx>
      <c:valAx>
        <c:axId val="169949861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L/(V^(1/3))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406081650"/>
        <c:crosses val="autoZero"/>
        <c:crossBetween val="midCat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7"/>
            <c:spPr>
              <a:solidFill>
                <a:srgbClr val="4684EE"/>
              </a:solidFill>
              <a:ln cmpd="sng">
                <a:solidFill>
                  <a:srgbClr val="4684EE"/>
                </a:solidFill>
              </a:ln>
            </c:spPr>
          </c:marker>
          <c:trendline>
            <c:spPr>
              <a:ln w="9525">
                <a:solidFill>
                  <a:srgbClr val="004586"/>
                </a:solidFill>
              </a:ln>
            </c:spPr>
            <c:trendlineType val="exp"/>
            <c:dispRSqr val="0"/>
            <c:dispEq val="0"/>
          </c:trendline>
          <c:xVal>
            <c:numRef>
              <c:f>'Hospital passenger ship'!$W$116:$W$144</c:f>
              <c:numCache>
                <c:formatCode>General</c:formatCode>
                <c:ptCount val="29"/>
                <c:pt idx="0">
                  <c:v>6.5285714285714285</c:v>
                </c:pt>
                <c:pt idx="1">
                  <c:v>6.3230769230769228</c:v>
                </c:pt>
                <c:pt idx="2">
                  <c:v>7.806477732793522</c:v>
                </c:pt>
                <c:pt idx="3">
                  <c:v>6.3214285714285712</c:v>
                </c:pt>
                <c:pt idx="4">
                  <c:v>6.0874125874125866</c:v>
                </c:pt>
                <c:pt idx="5">
                  <c:v>6.4135021097046412</c:v>
                </c:pt>
                <c:pt idx="6">
                  <c:v>5.4994350282485875</c:v>
                </c:pt>
                <c:pt idx="7">
                  <c:v>6.5862068965517242</c:v>
                </c:pt>
                <c:pt idx="8">
                  <c:v>7.25</c:v>
                </c:pt>
                <c:pt idx="9">
                  <c:v>5.9215686274509798</c:v>
                </c:pt>
                <c:pt idx="10">
                  <c:v>7.8944444444444439</c:v>
                </c:pt>
                <c:pt idx="11">
                  <c:v>7.1091908876669283</c:v>
                </c:pt>
                <c:pt idx="12">
                  <c:v>9.0959752321981444</c:v>
                </c:pt>
                <c:pt idx="13">
                  <c:v>8.7239583333333339</c:v>
                </c:pt>
                <c:pt idx="14">
                  <c:v>7.8944444444444439</c:v>
                </c:pt>
                <c:pt idx="15">
                  <c:v>7.0515873015873014</c:v>
                </c:pt>
                <c:pt idx="16">
                  <c:v>8.1531746031746035</c:v>
                </c:pt>
                <c:pt idx="17">
                  <c:v>7.107619795758052</c:v>
                </c:pt>
                <c:pt idx="18">
                  <c:v>7.1052631578947372</c:v>
                </c:pt>
                <c:pt idx="19">
                  <c:v>8.2258064516129021</c:v>
                </c:pt>
                <c:pt idx="20">
                  <c:v>7.7021276595744679</c:v>
                </c:pt>
                <c:pt idx="21">
                  <c:v>6.3097696584590945</c:v>
                </c:pt>
                <c:pt idx="22">
                  <c:v>8.2750000000000004</c:v>
                </c:pt>
                <c:pt idx="23">
                  <c:v>7.0087019579405379</c:v>
                </c:pt>
                <c:pt idx="24">
                  <c:v>6.34375</c:v>
                </c:pt>
                <c:pt idx="25">
                  <c:v>7.1363636363636367</c:v>
                </c:pt>
                <c:pt idx="26">
                  <c:v>6.8826612903225808</c:v>
                </c:pt>
                <c:pt idx="27">
                  <c:v>5.6262376237623766</c:v>
                </c:pt>
                <c:pt idx="28">
                  <c:v>6.441860465116279</c:v>
                </c:pt>
              </c:numCache>
            </c:numRef>
          </c:xVal>
          <c:yVal>
            <c:numRef>
              <c:f>'Hospital passenger ship'!$O$116:$O$144</c:f>
              <c:numCache>
                <c:formatCode>General</c:formatCode>
                <c:ptCount val="29"/>
                <c:pt idx="0">
                  <c:v>0.2245794875049468</c:v>
                </c:pt>
                <c:pt idx="1">
                  <c:v>0.24043660520542018</c:v>
                </c:pt>
                <c:pt idx="2">
                  <c:v>0.26511897391738498</c:v>
                </c:pt>
                <c:pt idx="3">
                  <c:v>0.27722844849578826</c:v>
                </c:pt>
                <c:pt idx="4">
                  <c:v>0.15943343946669511</c:v>
                </c:pt>
                <c:pt idx="5">
                  <c:v>0.26305556219646831</c:v>
                </c:pt>
                <c:pt idx="6">
                  <c:v>0.30206527704140096</c:v>
                </c:pt>
                <c:pt idx="7">
                  <c:v>0.26637911142050319</c:v>
                </c:pt>
                <c:pt idx="8">
                  <c:v>0.28996189599773198</c:v>
                </c:pt>
                <c:pt idx="9">
                  <c:v>0.28437008821721382</c:v>
                </c:pt>
                <c:pt idx="10">
                  <c:v>0.23393450432714422</c:v>
                </c:pt>
                <c:pt idx="11">
                  <c:v>0.23531748052539406</c:v>
                </c:pt>
                <c:pt idx="12">
                  <c:v>0.23027282548972464</c:v>
                </c:pt>
                <c:pt idx="13">
                  <c:v>0.23687626848213097</c:v>
                </c:pt>
                <c:pt idx="14">
                  <c:v>0.23393450432714422</c:v>
                </c:pt>
                <c:pt idx="15">
                  <c:v>0.27616786060755444</c:v>
                </c:pt>
                <c:pt idx="16">
                  <c:v>0.27106654870820968</c:v>
                </c:pt>
                <c:pt idx="17">
                  <c:v>0.23457340180944719</c:v>
                </c:pt>
                <c:pt idx="18">
                  <c:v>0.24787961042503448</c:v>
                </c:pt>
                <c:pt idx="19">
                  <c:v>0.2254858842770345</c:v>
                </c:pt>
                <c:pt idx="20">
                  <c:v>0.20437596297504071</c:v>
                </c:pt>
                <c:pt idx="21">
                  <c:v>0.26397702668016804</c:v>
                </c:pt>
                <c:pt idx="22">
                  <c:v>0.261232512496474</c:v>
                </c:pt>
                <c:pt idx="23">
                  <c:v>0.25218057081257933</c:v>
                </c:pt>
                <c:pt idx="24">
                  <c:v>0.29018690212892151</c:v>
                </c:pt>
                <c:pt idx="25">
                  <c:v>0.27981933763406464</c:v>
                </c:pt>
                <c:pt idx="26">
                  <c:v>0.26135603883079211</c:v>
                </c:pt>
                <c:pt idx="27">
                  <c:v>0.26383010432483928</c:v>
                </c:pt>
                <c:pt idx="28">
                  <c:v>0.27379606854471633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C5-45AC-A783-0B91FD5A9AF3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pPr>
              <a:solidFill>
                <a:srgbClr val="FF0000"/>
              </a:solidFill>
              <a:ln w="76200">
                <a:solidFill>
                  <a:srgbClr val="FF0000"/>
                </a:solidFill>
              </a:ln>
            </c:spPr>
          </c:marker>
          <c:xVal>
            <c:numRef>
              <c:f>'Hospital passenger ship'!$B$13</c:f>
              <c:numCache>
                <c:formatCode>General</c:formatCode>
                <c:ptCount val="1"/>
                <c:pt idx="0">
                  <c:v>7.5675675675675675</c:v>
                </c:pt>
              </c:numCache>
            </c:numRef>
          </c:xVal>
          <c:yVal>
            <c:numRef>
              <c:f>'Hospital passenger ship'!$B$17</c:f>
              <c:numCache>
                <c:formatCode>General</c:formatCode>
                <c:ptCount val="1"/>
                <c:pt idx="0">
                  <c:v>0.1766840994720856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693-42CB-B0D9-2363B3DBA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081650"/>
        <c:axId val="1699498618"/>
      </c:scatterChart>
      <c:valAx>
        <c:axId val="40608165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L/B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1699498618"/>
        <c:crosses val="autoZero"/>
        <c:crossBetween val="midCat"/>
      </c:valAx>
      <c:valAx>
        <c:axId val="169949861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Fn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406081650"/>
        <c:crosses val="autoZero"/>
        <c:crossBetween val="midCat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7"/>
            <c:spPr>
              <a:solidFill>
                <a:srgbClr val="4684EE"/>
              </a:solidFill>
              <a:ln cmpd="sng">
                <a:solidFill>
                  <a:srgbClr val="4684EE"/>
                </a:solidFill>
              </a:ln>
            </c:spPr>
          </c:marker>
          <c:trendline>
            <c:spPr>
              <a:ln w="9525">
                <a:solidFill>
                  <a:srgbClr val="004586"/>
                </a:solidFill>
              </a:ln>
            </c:spPr>
            <c:trendlineType val="exp"/>
            <c:dispRSqr val="0"/>
            <c:dispEq val="0"/>
          </c:trendline>
          <c:xVal>
            <c:numRef>
              <c:f>'Hospital passenger ship'!$X$116:$X$144</c:f>
              <c:numCache>
                <c:formatCode>General</c:formatCode>
                <c:ptCount val="29"/>
                <c:pt idx="0">
                  <c:v>3.6206896551724137</c:v>
                </c:pt>
                <c:pt idx="1">
                  <c:v>4.1489361702127656</c:v>
                </c:pt>
                <c:pt idx="2">
                  <c:v>3.9838709677419351</c:v>
                </c:pt>
                <c:pt idx="3">
                  <c:v>4.2321644498186215</c:v>
                </c:pt>
                <c:pt idx="4">
                  <c:v>4.6504065040650406</c:v>
                </c:pt>
                <c:pt idx="5">
                  <c:v>3.9499999999999997</c:v>
                </c:pt>
                <c:pt idx="6">
                  <c:v>3.2181818181818183</c:v>
                </c:pt>
                <c:pt idx="7">
                  <c:v>4.3026706231454002</c:v>
                </c:pt>
                <c:pt idx="8">
                  <c:v>3.6809815950920246</c:v>
                </c:pt>
                <c:pt idx="9">
                  <c:v>3.6428571428571428</c:v>
                </c:pt>
                <c:pt idx="10">
                  <c:v>3.75</c:v>
                </c:pt>
                <c:pt idx="11">
                  <c:v>4.2789915966386554</c:v>
                </c:pt>
                <c:pt idx="12">
                  <c:v>4.114649681528662</c:v>
                </c:pt>
                <c:pt idx="13">
                  <c:v>4.2290748898678414</c:v>
                </c:pt>
                <c:pt idx="14">
                  <c:v>3.75</c:v>
                </c:pt>
                <c:pt idx="15">
                  <c:v>3.3390751291904066</c:v>
                </c:pt>
                <c:pt idx="16">
                  <c:v>3.3390751291904066</c:v>
                </c:pt>
                <c:pt idx="17">
                  <c:v>4.2789915966386554</c:v>
                </c:pt>
                <c:pt idx="18">
                  <c:v>3.5087719298245612</c:v>
                </c:pt>
                <c:pt idx="19">
                  <c:v>4.4819277108433733</c:v>
                </c:pt>
                <c:pt idx="20">
                  <c:v>5.0418365157691483</c:v>
                </c:pt>
                <c:pt idx="21">
                  <c:v>4.2584136648063584</c:v>
                </c:pt>
                <c:pt idx="22">
                  <c:v>4</c:v>
                </c:pt>
                <c:pt idx="23">
                  <c:v>4.4555735056542805</c:v>
                </c:pt>
                <c:pt idx="24">
                  <c:v>4.0851063829787231</c:v>
                </c:pt>
                <c:pt idx="25">
                  <c:v>3.5483870967741935</c:v>
                </c:pt>
                <c:pt idx="26">
                  <c:v>3.397260273972603</c:v>
                </c:pt>
                <c:pt idx="27">
                  <c:v>3.9607843137254903</c:v>
                </c:pt>
                <c:pt idx="28">
                  <c:v>4.479166666666667</c:v>
                </c:pt>
              </c:numCache>
            </c:numRef>
          </c:xVal>
          <c:yVal>
            <c:numRef>
              <c:f>'Hospital passenger ship'!$O$116:$O$144</c:f>
              <c:numCache>
                <c:formatCode>General</c:formatCode>
                <c:ptCount val="29"/>
                <c:pt idx="0">
                  <c:v>0.2245794875049468</c:v>
                </c:pt>
                <c:pt idx="1">
                  <c:v>0.24043660520542018</c:v>
                </c:pt>
                <c:pt idx="2">
                  <c:v>0.26511897391738498</c:v>
                </c:pt>
                <c:pt idx="3">
                  <c:v>0.27722844849578826</c:v>
                </c:pt>
                <c:pt idx="4">
                  <c:v>0.15943343946669511</c:v>
                </c:pt>
                <c:pt idx="5">
                  <c:v>0.26305556219646831</c:v>
                </c:pt>
                <c:pt idx="6">
                  <c:v>0.30206527704140096</c:v>
                </c:pt>
                <c:pt idx="7">
                  <c:v>0.26637911142050319</c:v>
                </c:pt>
                <c:pt idx="8">
                  <c:v>0.28996189599773198</c:v>
                </c:pt>
                <c:pt idx="9">
                  <c:v>0.28437008821721382</c:v>
                </c:pt>
                <c:pt idx="10">
                  <c:v>0.23393450432714422</c:v>
                </c:pt>
                <c:pt idx="11">
                  <c:v>0.23531748052539406</c:v>
                </c:pt>
                <c:pt idx="12">
                  <c:v>0.23027282548972464</c:v>
                </c:pt>
                <c:pt idx="13">
                  <c:v>0.23687626848213097</c:v>
                </c:pt>
                <c:pt idx="14">
                  <c:v>0.23393450432714422</c:v>
                </c:pt>
                <c:pt idx="15">
                  <c:v>0.27616786060755444</c:v>
                </c:pt>
                <c:pt idx="16">
                  <c:v>0.27106654870820968</c:v>
                </c:pt>
                <c:pt idx="17">
                  <c:v>0.23457340180944719</c:v>
                </c:pt>
                <c:pt idx="18">
                  <c:v>0.24787961042503448</c:v>
                </c:pt>
                <c:pt idx="19">
                  <c:v>0.2254858842770345</c:v>
                </c:pt>
                <c:pt idx="20">
                  <c:v>0.20437596297504071</c:v>
                </c:pt>
                <c:pt idx="21">
                  <c:v>0.26397702668016804</c:v>
                </c:pt>
                <c:pt idx="22">
                  <c:v>0.261232512496474</c:v>
                </c:pt>
                <c:pt idx="23">
                  <c:v>0.25218057081257933</c:v>
                </c:pt>
                <c:pt idx="24">
                  <c:v>0.29018690212892151</c:v>
                </c:pt>
                <c:pt idx="25">
                  <c:v>0.27981933763406464</c:v>
                </c:pt>
                <c:pt idx="26">
                  <c:v>0.26135603883079211</c:v>
                </c:pt>
                <c:pt idx="27">
                  <c:v>0.26383010432483928</c:v>
                </c:pt>
                <c:pt idx="28">
                  <c:v>0.27379606854471633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F1-4228-8589-78EEE9A5430D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pPr>
              <a:solidFill>
                <a:srgbClr val="FF0000"/>
              </a:solidFill>
              <a:ln w="76200">
                <a:solidFill>
                  <a:srgbClr val="FF0000"/>
                </a:solidFill>
              </a:ln>
            </c:spPr>
          </c:marker>
          <c:xVal>
            <c:numRef>
              <c:f>'Hospital passenger ship'!$B$14</c:f>
              <c:numCache>
                <c:formatCode>General</c:formatCode>
                <c:ptCount val="1"/>
                <c:pt idx="0">
                  <c:v>4.625</c:v>
                </c:pt>
              </c:numCache>
            </c:numRef>
          </c:xVal>
          <c:yVal>
            <c:numRef>
              <c:f>'Hospital passenger ship'!$B$17</c:f>
              <c:numCache>
                <c:formatCode>General</c:formatCode>
                <c:ptCount val="1"/>
                <c:pt idx="0">
                  <c:v>0.1766840994720856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6BC-4382-817B-986A5866B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081650"/>
        <c:axId val="1699498618"/>
      </c:scatterChart>
      <c:valAx>
        <c:axId val="40608165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B/T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1699498618"/>
        <c:crosses val="autoZero"/>
        <c:crossBetween val="midCat"/>
      </c:valAx>
      <c:valAx>
        <c:axId val="169949861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Fn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406081650"/>
        <c:crosses val="autoZero"/>
        <c:crossBetween val="midCat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B/Lpp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</a:ln>
              <a:effectLst/>
            </c:spPr>
            <c:trendlineType val="linear"/>
            <c:forward val="40"/>
            <c:backward val="40"/>
            <c:dispRSqr val="0"/>
            <c:dispEq val="0"/>
          </c:trendline>
          <c:xVal>
            <c:numRef>
              <c:f>ROPAX!$H$144:$H$217</c:f>
              <c:numCache>
                <c:formatCode>General</c:formatCode>
                <c:ptCount val="74"/>
                <c:pt idx="0">
                  <c:v>114.95</c:v>
                </c:pt>
                <c:pt idx="1">
                  <c:v>127.5</c:v>
                </c:pt>
                <c:pt idx="2">
                  <c:v>123</c:v>
                </c:pt>
                <c:pt idx="3">
                  <c:v>125</c:v>
                </c:pt>
                <c:pt idx="4">
                  <c:v>111.8</c:v>
                </c:pt>
                <c:pt idx="5">
                  <c:v>154</c:v>
                </c:pt>
                <c:pt idx="6">
                  <c:v>91.2</c:v>
                </c:pt>
                <c:pt idx="7">
                  <c:v>192.4</c:v>
                </c:pt>
                <c:pt idx="8">
                  <c:v>161.6</c:v>
                </c:pt>
                <c:pt idx="9">
                  <c:v>98.2</c:v>
                </c:pt>
                <c:pt idx="10">
                  <c:v>152.43</c:v>
                </c:pt>
                <c:pt idx="11">
                  <c:v>179.2</c:v>
                </c:pt>
                <c:pt idx="12">
                  <c:v>159.69999999999999</c:v>
                </c:pt>
                <c:pt idx="13">
                  <c:v>160.47999999999999</c:v>
                </c:pt>
                <c:pt idx="14">
                  <c:v>191.22</c:v>
                </c:pt>
                <c:pt idx="15">
                  <c:v>203.7</c:v>
                </c:pt>
                <c:pt idx="16">
                  <c:v>198</c:v>
                </c:pt>
                <c:pt idx="17">
                  <c:v>175</c:v>
                </c:pt>
                <c:pt idx="18">
                  <c:v>190.5</c:v>
                </c:pt>
                <c:pt idx="19">
                  <c:v>167</c:v>
                </c:pt>
                <c:pt idx="20">
                  <c:v>134</c:v>
                </c:pt>
                <c:pt idx="21">
                  <c:v>157.65</c:v>
                </c:pt>
                <c:pt idx="22">
                  <c:v>166.2</c:v>
                </c:pt>
                <c:pt idx="23">
                  <c:v>148.77000000000001</c:v>
                </c:pt>
                <c:pt idx="24">
                  <c:v>182.39</c:v>
                </c:pt>
                <c:pt idx="25">
                  <c:v>170</c:v>
                </c:pt>
                <c:pt idx="26">
                  <c:v>140</c:v>
                </c:pt>
                <c:pt idx="27">
                  <c:v>118.5</c:v>
                </c:pt>
                <c:pt idx="28">
                  <c:v>168.7</c:v>
                </c:pt>
                <c:pt idx="29">
                  <c:v>117.6</c:v>
                </c:pt>
                <c:pt idx="30">
                  <c:v>123</c:v>
                </c:pt>
                <c:pt idx="31">
                  <c:v>185.6</c:v>
                </c:pt>
                <c:pt idx="32">
                  <c:v>96</c:v>
                </c:pt>
                <c:pt idx="33">
                  <c:v>171</c:v>
                </c:pt>
                <c:pt idx="34">
                  <c:v>141</c:v>
                </c:pt>
                <c:pt idx="35">
                  <c:v>171.3</c:v>
                </c:pt>
                <c:pt idx="36">
                  <c:v>194.8</c:v>
                </c:pt>
                <c:pt idx="37">
                  <c:v>137.30000000000001</c:v>
                </c:pt>
                <c:pt idx="38">
                  <c:v>146</c:v>
                </c:pt>
                <c:pt idx="39">
                  <c:v>104.4</c:v>
                </c:pt>
                <c:pt idx="40">
                  <c:v>148</c:v>
                </c:pt>
                <c:pt idx="41">
                  <c:v>130</c:v>
                </c:pt>
                <c:pt idx="42">
                  <c:v>175</c:v>
                </c:pt>
                <c:pt idx="43">
                  <c:v>170.1</c:v>
                </c:pt>
                <c:pt idx="44">
                  <c:v>170</c:v>
                </c:pt>
                <c:pt idx="45">
                  <c:v>173.5</c:v>
                </c:pt>
                <c:pt idx="46">
                  <c:v>171.3</c:v>
                </c:pt>
                <c:pt idx="47">
                  <c:v>170</c:v>
                </c:pt>
                <c:pt idx="48">
                  <c:v>194.4</c:v>
                </c:pt>
                <c:pt idx="49">
                  <c:v>165</c:v>
                </c:pt>
                <c:pt idx="50">
                  <c:v>197.9</c:v>
                </c:pt>
                <c:pt idx="51">
                  <c:v>185</c:v>
                </c:pt>
                <c:pt idx="52">
                  <c:v>114.8</c:v>
                </c:pt>
                <c:pt idx="53">
                  <c:v>92.4</c:v>
                </c:pt>
                <c:pt idx="54">
                  <c:v>133.99</c:v>
                </c:pt>
                <c:pt idx="55">
                  <c:v>195.6766387195122</c:v>
                </c:pt>
                <c:pt idx="56">
                  <c:v>275.42130335365852</c:v>
                </c:pt>
                <c:pt idx="57">
                  <c:v>122.41063262195121</c:v>
                </c:pt>
                <c:pt idx="58">
                  <c:v>164</c:v>
                </c:pt>
                <c:pt idx="59">
                  <c:v>273.70636432926824</c:v>
                </c:pt>
                <c:pt idx="60">
                  <c:v>171.57221798780486</c:v>
                </c:pt>
                <c:pt idx="62">
                  <c:v>171.57221798780486</c:v>
                </c:pt>
                <c:pt idx="63">
                  <c:v>50.4</c:v>
                </c:pt>
                <c:pt idx="64">
                  <c:v>78.45</c:v>
                </c:pt>
                <c:pt idx="65">
                  <c:v>44.9</c:v>
                </c:pt>
                <c:pt idx="66">
                  <c:v>42.97</c:v>
                </c:pt>
                <c:pt idx="67">
                  <c:v>106.24</c:v>
                </c:pt>
                <c:pt idx="68">
                  <c:v>290.76048018292681</c:v>
                </c:pt>
                <c:pt idx="69">
                  <c:v>148</c:v>
                </c:pt>
                <c:pt idx="70">
                  <c:v>233.50057164634146</c:v>
                </c:pt>
                <c:pt idx="71">
                  <c:v>148</c:v>
                </c:pt>
                <c:pt idx="72">
                  <c:v>202.26009908536585</c:v>
                </c:pt>
                <c:pt idx="73">
                  <c:v>173.6</c:v>
                </c:pt>
              </c:numCache>
            </c:numRef>
          </c:xVal>
          <c:yVal>
            <c:numRef>
              <c:f>ROPAX!$I$144:$I$217</c:f>
              <c:numCache>
                <c:formatCode>General</c:formatCode>
                <c:ptCount val="74"/>
                <c:pt idx="0">
                  <c:v>23.4</c:v>
                </c:pt>
                <c:pt idx="1">
                  <c:v>23.4</c:v>
                </c:pt>
                <c:pt idx="2">
                  <c:v>22.7</c:v>
                </c:pt>
                <c:pt idx="3">
                  <c:v>24.3</c:v>
                </c:pt>
                <c:pt idx="4">
                  <c:v>18.899999999999999</c:v>
                </c:pt>
                <c:pt idx="5">
                  <c:v>27.6</c:v>
                </c:pt>
                <c:pt idx="6">
                  <c:v>15.8</c:v>
                </c:pt>
                <c:pt idx="7">
                  <c:v>31.2</c:v>
                </c:pt>
                <c:pt idx="8">
                  <c:v>30.4</c:v>
                </c:pt>
                <c:pt idx="9">
                  <c:v>20</c:v>
                </c:pt>
                <c:pt idx="10">
                  <c:v>30</c:v>
                </c:pt>
                <c:pt idx="11">
                  <c:v>23.4</c:v>
                </c:pt>
                <c:pt idx="12">
                  <c:v>24.8</c:v>
                </c:pt>
                <c:pt idx="13">
                  <c:v>25.7</c:v>
                </c:pt>
                <c:pt idx="14">
                  <c:v>26.4</c:v>
                </c:pt>
                <c:pt idx="15">
                  <c:v>31.5</c:v>
                </c:pt>
                <c:pt idx="16">
                  <c:v>25</c:v>
                </c:pt>
                <c:pt idx="17">
                  <c:v>29.5</c:v>
                </c:pt>
                <c:pt idx="18">
                  <c:v>32.26</c:v>
                </c:pt>
                <c:pt idx="19">
                  <c:v>32.200000000000003</c:v>
                </c:pt>
                <c:pt idx="20">
                  <c:v>25</c:v>
                </c:pt>
                <c:pt idx="21">
                  <c:v>23.4</c:v>
                </c:pt>
                <c:pt idx="22">
                  <c:v>25.2</c:v>
                </c:pt>
                <c:pt idx="23">
                  <c:v>20.6</c:v>
                </c:pt>
                <c:pt idx="24">
                  <c:v>26</c:v>
                </c:pt>
                <c:pt idx="25">
                  <c:v>28.7</c:v>
                </c:pt>
                <c:pt idx="26">
                  <c:v>23.6</c:v>
                </c:pt>
                <c:pt idx="27">
                  <c:v>21</c:v>
                </c:pt>
                <c:pt idx="28">
                  <c:v>25.2</c:v>
                </c:pt>
                <c:pt idx="29">
                  <c:v>23.4</c:v>
                </c:pt>
                <c:pt idx="30">
                  <c:v>22.7</c:v>
                </c:pt>
                <c:pt idx="31">
                  <c:v>25.4</c:v>
                </c:pt>
                <c:pt idx="32">
                  <c:v>16.5</c:v>
                </c:pt>
                <c:pt idx="33">
                  <c:v>26.5</c:v>
                </c:pt>
                <c:pt idx="34">
                  <c:v>21.8</c:v>
                </c:pt>
                <c:pt idx="35">
                  <c:v>28.7</c:v>
                </c:pt>
                <c:pt idx="36">
                  <c:v>31.6</c:v>
                </c:pt>
                <c:pt idx="37">
                  <c:v>23.4</c:v>
                </c:pt>
                <c:pt idx="38">
                  <c:v>25.3</c:v>
                </c:pt>
                <c:pt idx="39">
                  <c:v>18.5</c:v>
                </c:pt>
                <c:pt idx="40">
                  <c:v>25.7</c:v>
                </c:pt>
                <c:pt idx="41">
                  <c:v>24</c:v>
                </c:pt>
                <c:pt idx="42">
                  <c:v>29.5</c:v>
                </c:pt>
                <c:pt idx="43">
                  <c:v>28.3</c:v>
                </c:pt>
                <c:pt idx="44">
                  <c:v>28.7</c:v>
                </c:pt>
                <c:pt idx="45">
                  <c:v>23.9</c:v>
                </c:pt>
                <c:pt idx="46">
                  <c:v>28.7</c:v>
                </c:pt>
                <c:pt idx="47">
                  <c:v>27.7</c:v>
                </c:pt>
                <c:pt idx="48">
                  <c:v>35.200000000000003</c:v>
                </c:pt>
                <c:pt idx="49">
                  <c:v>26.5</c:v>
                </c:pt>
                <c:pt idx="50">
                  <c:v>30.8</c:v>
                </c:pt>
                <c:pt idx="51">
                  <c:v>28.9</c:v>
                </c:pt>
                <c:pt idx="52">
                  <c:v>30.4</c:v>
                </c:pt>
                <c:pt idx="53">
                  <c:v>23.8</c:v>
                </c:pt>
                <c:pt idx="54">
                  <c:v>21.8</c:v>
                </c:pt>
                <c:pt idx="55">
                  <c:v>25.8</c:v>
                </c:pt>
                <c:pt idx="56">
                  <c:v>36</c:v>
                </c:pt>
                <c:pt idx="57">
                  <c:v>24</c:v>
                </c:pt>
                <c:pt idx="58">
                  <c:v>28</c:v>
                </c:pt>
                <c:pt idx="59">
                  <c:v>35.799999999999997</c:v>
                </c:pt>
                <c:pt idx="60">
                  <c:v>27.7</c:v>
                </c:pt>
                <c:pt idx="61">
                  <c:v>0</c:v>
                </c:pt>
                <c:pt idx="62">
                  <c:v>28</c:v>
                </c:pt>
                <c:pt idx="63">
                  <c:v>12.84</c:v>
                </c:pt>
                <c:pt idx="64">
                  <c:v>17.61</c:v>
                </c:pt>
                <c:pt idx="65">
                  <c:v>12.8</c:v>
                </c:pt>
                <c:pt idx="66">
                  <c:v>12.8</c:v>
                </c:pt>
                <c:pt idx="67">
                  <c:v>18.2</c:v>
                </c:pt>
                <c:pt idx="68">
                  <c:v>47.4</c:v>
                </c:pt>
                <c:pt idx="69">
                  <c:v>27.5</c:v>
                </c:pt>
                <c:pt idx="70">
                  <c:v>32.200000000000003</c:v>
                </c:pt>
                <c:pt idx="71">
                  <c:v>27.5</c:v>
                </c:pt>
                <c:pt idx="72">
                  <c:v>32.42</c:v>
                </c:pt>
                <c:pt idx="73">
                  <c:v>24.8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76-4F1A-B467-D048D5BB3540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76200">
                <a:solidFill>
                  <a:srgbClr val="FF0000"/>
                </a:solidFill>
                <a:round/>
              </a:ln>
              <a:effectLst/>
            </c:spPr>
          </c:marker>
          <c:xVal>
            <c:numRef>
              <c:f>ROPAX!$B$3</c:f>
              <c:numCache>
                <c:formatCode>General</c:formatCode>
                <c:ptCount val="1"/>
                <c:pt idx="0">
                  <c:v>280</c:v>
                </c:pt>
              </c:numCache>
            </c:numRef>
          </c:xVal>
          <c:yVal>
            <c:numRef>
              <c:f>ROPAX!$B$4</c:f>
              <c:numCache>
                <c:formatCode>General</c:formatCode>
                <c:ptCount val="1"/>
                <c:pt idx="0">
                  <c:v>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076-4F1A-B467-D048D5BB3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806712"/>
        <c:axId val="220534568"/>
      </c:scatterChart>
      <c:valAx>
        <c:axId val="219806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0" i="0" u="none" strike="noStrike" baseline="0">
                    <a:effectLst/>
                  </a:rPr>
                  <a:t>Lbp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8910488975481925"/>
              <c:y val="0.875069262175561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534568"/>
        <c:crosses val="autoZero"/>
        <c:crossBetween val="midCat"/>
      </c:valAx>
      <c:valAx>
        <c:axId val="220534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0" i="0" u="none" strike="noStrike" baseline="0">
                    <a:effectLst/>
                  </a:rPr>
                  <a:t>Breadth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806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cars(Lbp)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914260717410323E-2"/>
          <c:y val="0.19486111111111112"/>
          <c:w val="0.85853018372703416"/>
          <c:h val="0.72088764946048411"/>
        </c:manualLayout>
      </c:layout>
      <c:scatterChart>
        <c:scatterStyle val="lineMarker"/>
        <c:varyColors val="0"/>
        <c:ser>
          <c:idx val="0"/>
          <c:order val="0"/>
          <c:tx>
            <c:v>Lpp/cars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ROPAX!$H$144:$H$217</c:f>
              <c:numCache>
                <c:formatCode>General</c:formatCode>
                <c:ptCount val="74"/>
                <c:pt idx="0">
                  <c:v>114.95</c:v>
                </c:pt>
                <c:pt idx="1">
                  <c:v>127.5</c:v>
                </c:pt>
                <c:pt idx="2">
                  <c:v>123</c:v>
                </c:pt>
                <c:pt idx="3">
                  <c:v>125</c:v>
                </c:pt>
                <c:pt idx="4">
                  <c:v>111.8</c:v>
                </c:pt>
                <c:pt idx="5">
                  <c:v>154</c:v>
                </c:pt>
                <c:pt idx="6">
                  <c:v>91.2</c:v>
                </c:pt>
                <c:pt idx="7">
                  <c:v>192.4</c:v>
                </c:pt>
                <c:pt idx="8">
                  <c:v>161.6</c:v>
                </c:pt>
                <c:pt idx="9">
                  <c:v>98.2</c:v>
                </c:pt>
                <c:pt idx="10">
                  <c:v>152.43</c:v>
                </c:pt>
                <c:pt idx="11">
                  <c:v>179.2</c:v>
                </c:pt>
                <c:pt idx="12">
                  <c:v>159.69999999999999</c:v>
                </c:pt>
                <c:pt idx="13">
                  <c:v>160.47999999999999</c:v>
                </c:pt>
                <c:pt idx="14">
                  <c:v>191.22</c:v>
                </c:pt>
                <c:pt idx="15">
                  <c:v>203.7</c:v>
                </c:pt>
                <c:pt idx="16">
                  <c:v>198</c:v>
                </c:pt>
                <c:pt idx="17">
                  <c:v>175</c:v>
                </c:pt>
                <c:pt idx="18">
                  <c:v>190.5</c:v>
                </c:pt>
                <c:pt idx="19">
                  <c:v>167</c:v>
                </c:pt>
                <c:pt idx="20">
                  <c:v>134</c:v>
                </c:pt>
                <c:pt idx="21">
                  <c:v>157.65</c:v>
                </c:pt>
                <c:pt idx="22">
                  <c:v>166.2</c:v>
                </c:pt>
                <c:pt idx="23">
                  <c:v>148.77000000000001</c:v>
                </c:pt>
                <c:pt idx="24">
                  <c:v>182.39</c:v>
                </c:pt>
                <c:pt idx="25">
                  <c:v>170</c:v>
                </c:pt>
                <c:pt idx="26">
                  <c:v>140</c:v>
                </c:pt>
                <c:pt idx="27">
                  <c:v>118.5</c:v>
                </c:pt>
                <c:pt idx="28">
                  <c:v>168.7</c:v>
                </c:pt>
                <c:pt idx="29">
                  <c:v>117.6</c:v>
                </c:pt>
                <c:pt idx="30">
                  <c:v>123</c:v>
                </c:pt>
                <c:pt idx="31">
                  <c:v>185.6</c:v>
                </c:pt>
                <c:pt idx="32">
                  <c:v>96</c:v>
                </c:pt>
                <c:pt idx="33">
                  <c:v>171</c:v>
                </c:pt>
                <c:pt idx="34">
                  <c:v>141</c:v>
                </c:pt>
                <c:pt idx="35">
                  <c:v>171.3</c:v>
                </c:pt>
                <c:pt idx="36">
                  <c:v>194.8</c:v>
                </c:pt>
                <c:pt idx="37">
                  <c:v>137.30000000000001</c:v>
                </c:pt>
                <c:pt idx="38">
                  <c:v>146</c:v>
                </c:pt>
                <c:pt idx="39">
                  <c:v>104.4</c:v>
                </c:pt>
                <c:pt idx="40">
                  <c:v>148</c:v>
                </c:pt>
                <c:pt idx="41">
                  <c:v>130</c:v>
                </c:pt>
                <c:pt idx="42">
                  <c:v>175</c:v>
                </c:pt>
                <c:pt idx="43">
                  <c:v>170.1</c:v>
                </c:pt>
                <c:pt idx="44">
                  <c:v>170</c:v>
                </c:pt>
                <c:pt idx="45">
                  <c:v>173.5</c:v>
                </c:pt>
                <c:pt idx="46">
                  <c:v>171.3</c:v>
                </c:pt>
                <c:pt idx="47">
                  <c:v>170</c:v>
                </c:pt>
                <c:pt idx="48">
                  <c:v>194.4</c:v>
                </c:pt>
                <c:pt idx="49">
                  <c:v>165</c:v>
                </c:pt>
                <c:pt idx="50">
                  <c:v>197.9</c:v>
                </c:pt>
                <c:pt idx="51">
                  <c:v>185</c:v>
                </c:pt>
                <c:pt idx="52">
                  <c:v>114.8</c:v>
                </c:pt>
                <c:pt idx="53">
                  <c:v>92.4</c:v>
                </c:pt>
                <c:pt idx="54">
                  <c:v>133.99</c:v>
                </c:pt>
                <c:pt idx="55">
                  <c:v>195.6766387195122</c:v>
                </c:pt>
                <c:pt idx="56">
                  <c:v>275.42130335365852</c:v>
                </c:pt>
                <c:pt idx="57">
                  <c:v>122.41063262195121</c:v>
                </c:pt>
                <c:pt idx="58">
                  <c:v>164</c:v>
                </c:pt>
                <c:pt idx="59">
                  <c:v>273.70636432926824</c:v>
                </c:pt>
                <c:pt idx="60">
                  <c:v>171.57221798780486</c:v>
                </c:pt>
                <c:pt idx="62">
                  <c:v>171.57221798780486</c:v>
                </c:pt>
                <c:pt idx="63">
                  <c:v>50.4</c:v>
                </c:pt>
                <c:pt idx="64">
                  <c:v>78.45</c:v>
                </c:pt>
                <c:pt idx="65">
                  <c:v>44.9</c:v>
                </c:pt>
                <c:pt idx="66">
                  <c:v>42.97</c:v>
                </c:pt>
                <c:pt idx="67">
                  <c:v>106.24</c:v>
                </c:pt>
                <c:pt idx="68">
                  <c:v>290.76048018292681</c:v>
                </c:pt>
                <c:pt idx="69">
                  <c:v>148</c:v>
                </c:pt>
                <c:pt idx="70">
                  <c:v>233.50057164634146</c:v>
                </c:pt>
                <c:pt idx="71">
                  <c:v>148</c:v>
                </c:pt>
                <c:pt idx="72">
                  <c:v>202.26009908536585</c:v>
                </c:pt>
                <c:pt idx="73">
                  <c:v>173.6</c:v>
                </c:pt>
              </c:numCache>
            </c:numRef>
          </c:xVal>
          <c:yVal>
            <c:numRef>
              <c:f>ROPAX!$P$144:$P$217</c:f>
              <c:numCache>
                <c:formatCode>General</c:formatCode>
                <c:ptCount val="74"/>
                <c:pt idx="0">
                  <c:v>380</c:v>
                </c:pt>
                <c:pt idx="1">
                  <c:v>193</c:v>
                </c:pt>
                <c:pt idx="2">
                  <c:v>200</c:v>
                </c:pt>
                <c:pt idx="3">
                  <c:v>224</c:v>
                </c:pt>
                <c:pt idx="4">
                  <c:v>94</c:v>
                </c:pt>
                <c:pt idx="5">
                  <c:v>370</c:v>
                </c:pt>
                <c:pt idx="6">
                  <c:v>108</c:v>
                </c:pt>
                <c:pt idx="7">
                  <c:v>1340</c:v>
                </c:pt>
                <c:pt idx="8">
                  <c:v>700</c:v>
                </c:pt>
                <c:pt idx="9">
                  <c:v>145</c:v>
                </c:pt>
                <c:pt idx="10">
                  <c:v>634</c:v>
                </c:pt>
                <c:pt idx="12">
                  <c:v>550</c:v>
                </c:pt>
                <c:pt idx="13">
                  <c:v>641</c:v>
                </c:pt>
                <c:pt idx="14">
                  <c:v>110</c:v>
                </c:pt>
                <c:pt idx="15">
                  <c:v>250</c:v>
                </c:pt>
                <c:pt idx="16">
                  <c:v>104</c:v>
                </c:pt>
                <c:pt idx="18">
                  <c:v>6700</c:v>
                </c:pt>
                <c:pt idx="19">
                  <c:v>5036</c:v>
                </c:pt>
                <c:pt idx="20">
                  <c:v>2137</c:v>
                </c:pt>
                <c:pt idx="32">
                  <c:v>35</c:v>
                </c:pt>
                <c:pt idx="40">
                  <c:v>375</c:v>
                </c:pt>
                <c:pt idx="55">
                  <c:v>764</c:v>
                </c:pt>
                <c:pt idx="57">
                  <c:v>410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99-4660-B86E-87957661E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124528"/>
        <c:axId val="221124920"/>
      </c:scatterChart>
      <c:valAx>
        <c:axId val="221124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124920"/>
        <c:crosses val="autoZero"/>
        <c:crossBetween val="midCat"/>
      </c:valAx>
      <c:valAx>
        <c:axId val="221124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124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DWT(Lbp)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DW(Lpp)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exp"/>
            <c:forward val="40"/>
            <c:dispRSqr val="0"/>
            <c:dispEq val="0"/>
          </c:trendline>
          <c:xVal>
            <c:numRef>
              <c:f>ROPAX!$H$144:$H$217</c:f>
              <c:numCache>
                <c:formatCode>General</c:formatCode>
                <c:ptCount val="74"/>
                <c:pt idx="0">
                  <c:v>114.95</c:v>
                </c:pt>
                <c:pt idx="1">
                  <c:v>127.5</c:v>
                </c:pt>
                <c:pt idx="2">
                  <c:v>123</c:v>
                </c:pt>
                <c:pt idx="3">
                  <c:v>125</c:v>
                </c:pt>
                <c:pt idx="4">
                  <c:v>111.8</c:v>
                </c:pt>
                <c:pt idx="5">
                  <c:v>154</c:v>
                </c:pt>
                <c:pt idx="6">
                  <c:v>91.2</c:v>
                </c:pt>
                <c:pt idx="7">
                  <c:v>192.4</c:v>
                </c:pt>
                <c:pt idx="8">
                  <c:v>161.6</c:v>
                </c:pt>
                <c:pt idx="9">
                  <c:v>98.2</c:v>
                </c:pt>
                <c:pt idx="10">
                  <c:v>152.43</c:v>
                </c:pt>
                <c:pt idx="11">
                  <c:v>179.2</c:v>
                </c:pt>
                <c:pt idx="12">
                  <c:v>159.69999999999999</c:v>
                </c:pt>
                <c:pt idx="13">
                  <c:v>160.47999999999999</c:v>
                </c:pt>
                <c:pt idx="14">
                  <c:v>191.22</c:v>
                </c:pt>
                <c:pt idx="15">
                  <c:v>203.7</c:v>
                </c:pt>
                <c:pt idx="16">
                  <c:v>198</c:v>
                </c:pt>
                <c:pt idx="17">
                  <c:v>175</c:v>
                </c:pt>
                <c:pt idx="18">
                  <c:v>190.5</c:v>
                </c:pt>
                <c:pt idx="19">
                  <c:v>167</c:v>
                </c:pt>
                <c:pt idx="20">
                  <c:v>134</c:v>
                </c:pt>
                <c:pt idx="21">
                  <c:v>157.65</c:v>
                </c:pt>
                <c:pt idx="22">
                  <c:v>166.2</c:v>
                </c:pt>
                <c:pt idx="23">
                  <c:v>148.77000000000001</c:v>
                </c:pt>
                <c:pt idx="24">
                  <c:v>182.39</c:v>
                </c:pt>
                <c:pt idx="25">
                  <c:v>170</c:v>
                </c:pt>
                <c:pt idx="26">
                  <c:v>140</c:v>
                </c:pt>
                <c:pt idx="27">
                  <c:v>118.5</c:v>
                </c:pt>
                <c:pt idx="28">
                  <c:v>168.7</c:v>
                </c:pt>
                <c:pt idx="29">
                  <c:v>117.6</c:v>
                </c:pt>
                <c:pt idx="30">
                  <c:v>123</c:v>
                </c:pt>
                <c:pt idx="31">
                  <c:v>185.6</c:v>
                </c:pt>
                <c:pt idx="32">
                  <c:v>96</c:v>
                </c:pt>
                <c:pt idx="33">
                  <c:v>171</c:v>
                </c:pt>
                <c:pt idx="34">
                  <c:v>141</c:v>
                </c:pt>
                <c:pt idx="35">
                  <c:v>171.3</c:v>
                </c:pt>
                <c:pt idx="36">
                  <c:v>194.8</c:v>
                </c:pt>
                <c:pt idx="37">
                  <c:v>137.30000000000001</c:v>
                </c:pt>
                <c:pt idx="38">
                  <c:v>146</c:v>
                </c:pt>
                <c:pt idx="39">
                  <c:v>104.4</c:v>
                </c:pt>
                <c:pt idx="40">
                  <c:v>148</c:v>
                </c:pt>
                <c:pt idx="41">
                  <c:v>130</c:v>
                </c:pt>
                <c:pt idx="42">
                  <c:v>175</c:v>
                </c:pt>
                <c:pt idx="43">
                  <c:v>170.1</c:v>
                </c:pt>
                <c:pt idx="44">
                  <c:v>170</c:v>
                </c:pt>
                <c:pt idx="45">
                  <c:v>173.5</c:v>
                </c:pt>
                <c:pt idx="46">
                  <c:v>171.3</c:v>
                </c:pt>
                <c:pt idx="47">
                  <c:v>170</c:v>
                </c:pt>
                <c:pt idx="48">
                  <c:v>194.4</c:v>
                </c:pt>
                <c:pt idx="49">
                  <c:v>165</c:v>
                </c:pt>
                <c:pt idx="50">
                  <c:v>197.9</c:v>
                </c:pt>
                <c:pt idx="51">
                  <c:v>185</c:v>
                </c:pt>
                <c:pt idx="52">
                  <c:v>114.8</c:v>
                </c:pt>
                <c:pt idx="53">
                  <c:v>92.4</c:v>
                </c:pt>
                <c:pt idx="54">
                  <c:v>133.99</c:v>
                </c:pt>
                <c:pt idx="55">
                  <c:v>195.6766387195122</c:v>
                </c:pt>
                <c:pt idx="56">
                  <c:v>275.42130335365852</c:v>
                </c:pt>
                <c:pt idx="57">
                  <c:v>122.41063262195121</c:v>
                </c:pt>
                <c:pt idx="58">
                  <c:v>164</c:v>
                </c:pt>
                <c:pt idx="59">
                  <c:v>273.70636432926824</c:v>
                </c:pt>
                <c:pt idx="60">
                  <c:v>171.57221798780486</c:v>
                </c:pt>
                <c:pt idx="62">
                  <c:v>171.57221798780486</c:v>
                </c:pt>
                <c:pt idx="63">
                  <c:v>50.4</c:v>
                </c:pt>
                <c:pt idx="64">
                  <c:v>78.45</c:v>
                </c:pt>
                <c:pt idx="65">
                  <c:v>44.9</c:v>
                </c:pt>
                <c:pt idx="66">
                  <c:v>42.97</c:v>
                </c:pt>
                <c:pt idx="67">
                  <c:v>106.24</c:v>
                </c:pt>
                <c:pt idx="68">
                  <c:v>290.76048018292681</c:v>
                </c:pt>
                <c:pt idx="69">
                  <c:v>148</c:v>
                </c:pt>
                <c:pt idx="70">
                  <c:v>233.50057164634146</c:v>
                </c:pt>
                <c:pt idx="71">
                  <c:v>148</c:v>
                </c:pt>
                <c:pt idx="72">
                  <c:v>202.26009908536585</c:v>
                </c:pt>
                <c:pt idx="73">
                  <c:v>173.6</c:v>
                </c:pt>
              </c:numCache>
            </c:numRef>
          </c:xVal>
          <c:yVal>
            <c:numRef>
              <c:f>ROPAX!$C$144:$C$217</c:f>
              <c:numCache>
                <c:formatCode>General</c:formatCode>
                <c:ptCount val="74"/>
                <c:pt idx="0">
                  <c:v>2883</c:v>
                </c:pt>
                <c:pt idx="1">
                  <c:v>3009</c:v>
                </c:pt>
                <c:pt idx="2">
                  <c:v>2652</c:v>
                </c:pt>
                <c:pt idx="3">
                  <c:v>3600</c:v>
                </c:pt>
                <c:pt idx="4">
                  <c:v>1858</c:v>
                </c:pt>
                <c:pt idx="6">
                  <c:v>670</c:v>
                </c:pt>
                <c:pt idx="7">
                  <c:v>9665</c:v>
                </c:pt>
                <c:pt idx="8">
                  <c:v>3400</c:v>
                </c:pt>
                <c:pt idx="9">
                  <c:v>1250</c:v>
                </c:pt>
                <c:pt idx="10">
                  <c:v>5230</c:v>
                </c:pt>
                <c:pt idx="11">
                  <c:v>7100</c:v>
                </c:pt>
                <c:pt idx="12">
                  <c:v>3500</c:v>
                </c:pt>
                <c:pt idx="13">
                  <c:v>4563</c:v>
                </c:pt>
                <c:pt idx="14">
                  <c:v>6300</c:v>
                </c:pt>
                <c:pt idx="15">
                  <c:v>9268</c:v>
                </c:pt>
                <c:pt idx="16">
                  <c:v>6800</c:v>
                </c:pt>
                <c:pt idx="17">
                  <c:v>7200</c:v>
                </c:pt>
                <c:pt idx="18">
                  <c:v>13200</c:v>
                </c:pt>
                <c:pt idx="19">
                  <c:v>10600</c:v>
                </c:pt>
                <c:pt idx="20">
                  <c:v>5800</c:v>
                </c:pt>
                <c:pt idx="21">
                  <c:v>6170</c:v>
                </c:pt>
                <c:pt idx="22">
                  <c:v>9600</c:v>
                </c:pt>
                <c:pt idx="23">
                  <c:v>8050</c:v>
                </c:pt>
                <c:pt idx="24">
                  <c:v>7730</c:v>
                </c:pt>
                <c:pt idx="25">
                  <c:v>6800</c:v>
                </c:pt>
                <c:pt idx="26">
                  <c:v>7200</c:v>
                </c:pt>
                <c:pt idx="27">
                  <c:v>5238</c:v>
                </c:pt>
                <c:pt idx="28">
                  <c:v>7300</c:v>
                </c:pt>
                <c:pt idx="29">
                  <c:v>4504</c:v>
                </c:pt>
                <c:pt idx="30">
                  <c:v>2100</c:v>
                </c:pt>
                <c:pt idx="31">
                  <c:v>6920</c:v>
                </c:pt>
                <c:pt idx="32">
                  <c:v>950</c:v>
                </c:pt>
                <c:pt idx="33">
                  <c:v>6965</c:v>
                </c:pt>
                <c:pt idx="34">
                  <c:v>5024</c:v>
                </c:pt>
                <c:pt idx="35">
                  <c:v>11558</c:v>
                </c:pt>
                <c:pt idx="36">
                  <c:v>10466</c:v>
                </c:pt>
                <c:pt idx="37">
                  <c:v>7324</c:v>
                </c:pt>
                <c:pt idx="38">
                  <c:v>10996</c:v>
                </c:pt>
                <c:pt idx="39">
                  <c:v>1200</c:v>
                </c:pt>
                <c:pt idx="40">
                  <c:v>4275</c:v>
                </c:pt>
                <c:pt idx="41">
                  <c:v>2900</c:v>
                </c:pt>
                <c:pt idx="42">
                  <c:v>6705</c:v>
                </c:pt>
                <c:pt idx="43">
                  <c:v>5700</c:v>
                </c:pt>
                <c:pt idx="44">
                  <c:v>8383</c:v>
                </c:pt>
                <c:pt idx="45">
                  <c:v>5794</c:v>
                </c:pt>
                <c:pt idx="46">
                  <c:v>11682</c:v>
                </c:pt>
                <c:pt idx="47">
                  <c:v>4700</c:v>
                </c:pt>
                <c:pt idx="48">
                  <c:v>4850</c:v>
                </c:pt>
                <c:pt idx="49">
                  <c:v>8900</c:v>
                </c:pt>
                <c:pt idx="50">
                  <c:v>9500</c:v>
                </c:pt>
                <c:pt idx="51">
                  <c:v>7800</c:v>
                </c:pt>
                <c:pt idx="52">
                  <c:v>1000</c:v>
                </c:pt>
                <c:pt idx="53">
                  <c:v>936</c:v>
                </c:pt>
                <c:pt idx="54">
                  <c:v>2402</c:v>
                </c:pt>
                <c:pt idx="57">
                  <c:v>2412</c:v>
                </c:pt>
                <c:pt idx="58">
                  <c:v>7598</c:v>
                </c:pt>
                <c:pt idx="59">
                  <c:v>7900</c:v>
                </c:pt>
                <c:pt idx="60">
                  <c:v>7178</c:v>
                </c:pt>
                <c:pt idx="61">
                  <c:v>9653</c:v>
                </c:pt>
                <c:pt idx="62">
                  <c:v>5700</c:v>
                </c:pt>
                <c:pt idx="63">
                  <c:v>346</c:v>
                </c:pt>
                <c:pt idx="64">
                  <c:v>740</c:v>
                </c:pt>
                <c:pt idx="65">
                  <c:v>254</c:v>
                </c:pt>
                <c:pt idx="66">
                  <c:v>254</c:v>
                </c:pt>
                <c:pt idx="67">
                  <c:v>1738</c:v>
                </c:pt>
                <c:pt idx="68">
                  <c:v>11033</c:v>
                </c:pt>
                <c:pt idx="69">
                  <c:v>3900</c:v>
                </c:pt>
                <c:pt idx="70">
                  <c:v>7662</c:v>
                </c:pt>
                <c:pt idx="71">
                  <c:v>3900</c:v>
                </c:pt>
                <c:pt idx="72">
                  <c:v>6107</c:v>
                </c:pt>
                <c:pt idx="73">
                  <c:v>3000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608-4941-8199-B55391F30294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76200">
                <a:solidFill>
                  <a:srgbClr val="FF0000"/>
                </a:solidFill>
              </a:ln>
              <a:effectLst/>
            </c:spPr>
          </c:marker>
          <c:xVal>
            <c:numRef>
              <c:f>ROPAX!$B$3</c:f>
              <c:numCache>
                <c:formatCode>General</c:formatCode>
                <c:ptCount val="1"/>
                <c:pt idx="0">
                  <c:v>280</c:v>
                </c:pt>
              </c:numCache>
            </c:numRef>
          </c:xVal>
          <c:yVal>
            <c:numRef>
              <c:f>ROPAX!$B$7</c:f>
              <c:numCache>
                <c:formatCode>General</c:formatCode>
                <c:ptCount val="1"/>
                <c:pt idx="0">
                  <c:v>4826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608-4941-8199-B55391F30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179968"/>
        <c:axId val="221180360"/>
      </c:scatterChart>
      <c:valAx>
        <c:axId val="221179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180360"/>
        <c:crosses val="autoZero"/>
        <c:crossBetween val="midCat"/>
      </c:valAx>
      <c:valAx>
        <c:axId val="221180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17996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T(B)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d(B)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ROPAX!$I$144:$I$217</c:f>
              <c:strCache>
                <c:ptCount val="74"/>
                <c:pt idx="0">
                  <c:v>23.4</c:v>
                </c:pt>
                <c:pt idx="1">
                  <c:v>23.4</c:v>
                </c:pt>
                <c:pt idx="2">
                  <c:v>22.7</c:v>
                </c:pt>
                <c:pt idx="3">
                  <c:v>24.3</c:v>
                </c:pt>
                <c:pt idx="4">
                  <c:v>18.9</c:v>
                </c:pt>
                <c:pt idx="5">
                  <c:v>27.6</c:v>
                </c:pt>
                <c:pt idx="6">
                  <c:v>15.8</c:v>
                </c:pt>
                <c:pt idx="7">
                  <c:v>31.2</c:v>
                </c:pt>
                <c:pt idx="8">
                  <c:v>30.4</c:v>
                </c:pt>
                <c:pt idx="9">
                  <c:v>20</c:v>
                </c:pt>
                <c:pt idx="10">
                  <c:v>30</c:v>
                </c:pt>
                <c:pt idx="11">
                  <c:v>23.4</c:v>
                </c:pt>
                <c:pt idx="12">
                  <c:v>24.8</c:v>
                </c:pt>
                <c:pt idx="13">
                  <c:v>25.7</c:v>
                </c:pt>
                <c:pt idx="14">
                  <c:v>26.4</c:v>
                </c:pt>
                <c:pt idx="15">
                  <c:v>31.5</c:v>
                </c:pt>
                <c:pt idx="16">
                  <c:v>25</c:v>
                </c:pt>
                <c:pt idx="17">
                  <c:v>29.5</c:v>
                </c:pt>
                <c:pt idx="18">
                  <c:v>32.26</c:v>
                </c:pt>
                <c:pt idx="19">
                  <c:v>32.2</c:v>
                </c:pt>
                <c:pt idx="20">
                  <c:v>25</c:v>
                </c:pt>
                <c:pt idx="21">
                  <c:v>23.4</c:v>
                </c:pt>
                <c:pt idx="22">
                  <c:v>25.2</c:v>
                </c:pt>
                <c:pt idx="23">
                  <c:v>20.6</c:v>
                </c:pt>
                <c:pt idx="24">
                  <c:v>26</c:v>
                </c:pt>
                <c:pt idx="25">
                  <c:v>28.7</c:v>
                </c:pt>
                <c:pt idx="26">
                  <c:v>23.6</c:v>
                </c:pt>
                <c:pt idx="27">
                  <c:v>21</c:v>
                </c:pt>
                <c:pt idx="28">
                  <c:v>25.2</c:v>
                </c:pt>
                <c:pt idx="29">
                  <c:v>23.4</c:v>
                </c:pt>
                <c:pt idx="30">
                  <c:v>22.7</c:v>
                </c:pt>
                <c:pt idx="31">
                  <c:v>25.4</c:v>
                </c:pt>
                <c:pt idx="32">
                  <c:v>16.5</c:v>
                </c:pt>
                <c:pt idx="33">
                  <c:v>26.5</c:v>
                </c:pt>
                <c:pt idx="34">
                  <c:v>21.8</c:v>
                </c:pt>
                <c:pt idx="35">
                  <c:v>28.7</c:v>
                </c:pt>
                <c:pt idx="36">
                  <c:v>31.6</c:v>
                </c:pt>
                <c:pt idx="37">
                  <c:v>23.4</c:v>
                </c:pt>
                <c:pt idx="38">
                  <c:v>25.3</c:v>
                </c:pt>
                <c:pt idx="39">
                  <c:v>18.5</c:v>
                </c:pt>
                <c:pt idx="40">
                  <c:v>25.7</c:v>
                </c:pt>
                <c:pt idx="41">
                  <c:v>24</c:v>
                </c:pt>
                <c:pt idx="42">
                  <c:v>29.5</c:v>
                </c:pt>
                <c:pt idx="43">
                  <c:v>28.3</c:v>
                </c:pt>
                <c:pt idx="44">
                  <c:v>28.7</c:v>
                </c:pt>
                <c:pt idx="45">
                  <c:v>23.9</c:v>
                </c:pt>
                <c:pt idx="46">
                  <c:v>28.7</c:v>
                </c:pt>
                <c:pt idx="47">
                  <c:v>27.7</c:v>
                </c:pt>
                <c:pt idx="48">
                  <c:v>35.2</c:v>
                </c:pt>
                <c:pt idx="49">
                  <c:v>26.5</c:v>
                </c:pt>
                <c:pt idx="50">
                  <c:v>30.8</c:v>
                </c:pt>
                <c:pt idx="51">
                  <c:v>28.9</c:v>
                </c:pt>
                <c:pt idx="52">
                  <c:v>30.4</c:v>
                </c:pt>
                <c:pt idx="53">
                  <c:v>23.8</c:v>
                </c:pt>
                <c:pt idx="54">
                  <c:v>21.8</c:v>
                </c:pt>
                <c:pt idx="55">
                  <c:v>25.8</c:v>
                </c:pt>
                <c:pt idx="56">
                  <c:v>36</c:v>
                </c:pt>
                <c:pt idx="57">
                  <c:v>24</c:v>
                </c:pt>
                <c:pt idx="58">
                  <c:v>28</c:v>
                </c:pt>
                <c:pt idx="59">
                  <c:v>35.8</c:v>
                </c:pt>
                <c:pt idx="60">
                  <c:v>27.7</c:v>
                </c:pt>
                <c:pt idx="61">
                  <c:v>30.52</c:v>
                </c:pt>
                <c:pt idx="62">
                  <c:v>28</c:v>
                </c:pt>
                <c:pt idx="63">
                  <c:v>12.84</c:v>
                </c:pt>
                <c:pt idx="64">
                  <c:v>17.61</c:v>
                </c:pt>
                <c:pt idx="65">
                  <c:v>12.8</c:v>
                </c:pt>
                <c:pt idx="66">
                  <c:v>12.8</c:v>
                </c:pt>
                <c:pt idx="67">
                  <c:v>18.2</c:v>
                </c:pt>
                <c:pt idx="68">
                  <c:v>47.4</c:v>
                </c:pt>
                <c:pt idx="69">
                  <c:v>27.5</c:v>
                </c:pt>
                <c:pt idx="70">
                  <c:v>32.2</c:v>
                </c:pt>
                <c:pt idx="71">
                  <c:v>27.5</c:v>
                </c:pt>
                <c:pt idx="72">
                  <c:v>32.42</c:v>
                </c:pt>
                <c:pt idx="73">
                  <c:v>24.8</c:v>
                </c:pt>
              </c:strCache>
            </c:strRef>
          </c:xVal>
          <c:yVal>
            <c:numRef>
              <c:f>ROPAX!$J$144:$J$217</c:f>
              <c:numCache>
                <c:formatCode>General</c:formatCode>
                <c:ptCount val="74"/>
                <c:pt idx="0">
                  <c:v>5.3</c:v>
                </c:pt>
                <c:pt idx="1">
                  <c:v>5.4</c:v>
                </c:pt>
                <c:pt idx="2">
                  <c:v>5.6</c:v>
                </c:pt>
                <c:pt idx="3">
                  <c:v>5.7</c:v>
                </c:pt>
                <c:pt idx="4">
                  <c:v>4.9000000000000004</c:v>
                </c:pt>
                <c:pt idx="5">
                  <c:v>5.75</c:v>
                </c:pt>
                <c:pt idx="6">
                  <c:v>3.2</c:v>
                </c:pt>
                <c:pt idx="7">
                  <c:v>6.4</c:v>
                </c:pt>
                <c:pt idx="8">
                  <c:v>6.62</c:v>
                </c:pt>
                <c:pt idx="9">
                  <c:v>4.5</c:v>
                </c:pt>
                <c:pt idx="10">
                  <c:v>6.3</c:v>
                </c:pt>
                <c:pt idx="11">
                  <c:v>6.08</c:v>
                </c:pt>
                <c:pt idx="12">
                  <c:v>6.3</c:v>
                </c:pt>
                <c:pt idx="13">
                  <c:v>6.35</c:v>
                </c:pt>
                <c:pt idx="14">
                  <c:v>7.1</c:v>
                </c:pt>
                <c:pt idx="15">
                  <c:v>6.05</c:v>
                </c:pt>
                <c:pt idx="16">
                  <c:v>6.6</c:v>
                </c:pt>
                <c:pt idx="17">
                  <c:v>6.2</c:v>
                </c:pt>
                <c:pt idx="18">
                  <c:v>9.5</c:v>
                </c:pt>
                <c:pt idx="19">
                  <c:v>8.4</c:v>
                </c:pt>
                <c:pt idx="20">
                  <c:v>7.2</c:v>
                </c:pt>
                <c:pt idx="21">
                  <c:v>5.8</c:v>
                </c:pt>
                <c:pt idx="22">
                  <c:v>6</c:v>
                </c:pt>
                <c:pt idx="23">
                  <c:v>6.6</c:v>
                </c:pt>
                <c:pt idx="24">
                  <c:v>5.7</c:v>
                </c:pt>
                <c:pt idx="25">
                  <c:v>6</c:v>
                </c:pt>
                <c:pt idx="26">
                  <c:v>6.3</c:v>
                </c:pt>
                <c:pt idx="27">
                  <c:v>6</c:v>
                </c:pt>
                <c:pt idx="28">
                  <c:v>6.5</c:v>
                </c:pt>
                <c:pt idx="29">
                  <c:v>5.8</c:v>
                </c:pt>
                <c:pt idx="30">
                  <c:v>5.8129999999999997</c:v>
                </c:pt>
                <c:pt idx="31">
                  <c:v>6.4</c:v>
                </c:pt>
                <c:pt idx="32">
                  <c:v>4.5999999999999996</c:v>
                </c:pt>
                <c:pt idx="33">
                  <c:v>6.7839999999999998</c:v>
                </c:pt>
                <c:pt idx="34">
                  <c:v>5.1150000000000002</c:v>
                </c:pt>
                <c:pt idx="35">
                  <c:v>7.4160000000000004</c:v>
                </c:pt>
                <c:pt idx="36">
                  <c:v>6.3</c:v>
                </c:pt>
                <c:pt idx="37">
                  <c:v>6</c:v>
                </c:pt>
                <c:pt idx="38">
                  <c:v>8.3010000000000002</c:v>
                </c:pt>
                <c:pt idx="39">
                  <c:v>4.5</c:v>
                </c:pt>
                <c:pt idx="40">
                  <c:v>5.5</c:v>
                </c:pt>
                <c:pt idx="41">
                  <c:v>6</c:v>
                </c:pt>
                <c:pt idx="42">
                  <c:v>6.2</c:v>
                </c:pt>
                <c:pt idx="43">
                  <c:v>6.5</c:v>
                </c:pt>
                <c:pt idx="44">
                  <c:v>6.2140000000000004</c:v>
                </c:pt>
                <c:pt idx="45">
                  <c:v>5.75</c:v>
                </c:pt>
                <c:pt idx="46">
                  <c:v>7.4</c:v>
                </c:pt>
                <c:pt idx="47">
                  <c:v>6.5</c:v>
                </c:pt>
                <c:pt idx="48">
                  <c:v>6.4</c:v>
                </c:pt>
                <c:pt idx="49">
                  <c:v>5.7</c:v>
                </c:pt>
                <c:pt idx="50">
                  <c:v>6.5</c:v>
                </c:pt>
                <c:pt idx="52">
                  <c:v>4.2</c:v>
                </c:pt>
                <c:pt idx="53">
                  <c:v>3.65</c:v>
                </c:pt>
                <c:pt idx="54">
                  <c:v>5.92</c:v>
                </c:pt>
                <c:pt idx="55">
                  <c:v>6.5</c:v>
                </c:pt>
                <c:pt idx="56">
                  <c:v>8.0500000000000007</c:v>
                </c:pt>
                <c:pt idx="57">
                  <c:v>5.6</c:v>
                </c:pt>
                <c:pt idx="58">
                  <c:v>6.2</c:v>
                </c:pt>
                <c:pt idx="59">
                  <c:v>8.0500000000000007</c:v>
                </c:pt>
                <c:pt idx="60">
                  <c:v>6.5</c:v>
                </c:pt>
                <c:pt idx="61">
                  <c:v>7.1</c:v>
                </c:pt>
                <c:pt idx="62">
                  <c:v>6.55</c:v>
                </c:pt>
                <c:pt idx="63">
                  <c:v>4.5</c:v>
                </c:pt>
                <c:pt idx="64">
                  <c:v>5.25</c:v>
                </c:pt>
                <c:pt idx="65">
                  <c:v>3.1</c:v>
                </c:pt>
                <c:pt idx="66">
                  <c:v>3.1</c:v>
                </c:pt>
                <c:pt idx="67">
                  <c:v>5.9</c:v>
                </c:pt>
                <c:pt idx="68">
                  <c:v>8.8000000000000007</c:v>
                </c:pt>
                <c:pt idx="69">
                  <c:v>6.36</c:v>
                </c:pt>
                <c:pt idx="70">
                  <c:v>7.32</c:v>
                </c:pt>
                <c:pt idx="71">
                  <c:v>6.36</c:v>
                </c:pt>
                <c:pt idx="72">
                  <c:v>6.8</c:v>
                </c:pt>
                <c:pt idx="73">
                  <c:v>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05-4E7E-8483-01719EFCF23C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76200">
                <a:solidFill>
                  <a:srgbClr val="FF0000"/>
                </a:solidFill>
              </a:ln>
              <a:effectLst/>
            </c:spPr>
          </c:marker>
          <c:xVal>
            <c:numRef>
              <c:f>ROPAX!$B$4</c:f>
              <c:numCache>
                <c:formatCode>General</c:formatCode>
                <c:ptCount val="1"/>
                <c:pt idx="0">
                  <c:v>37</c:v>
                </c:pt>
              </c:numCache>
            </c:numRef>
          </c:xVal>
          <c:yVal>
            <c:numRef>
              <c:f>ROPAX!$B$5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F05-4E7E-8483-01719EFCF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258800"/>
        <c:axId val="219258408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ROPAX!$J$144:$J$217</c15:sqref>
                        </c15:formulaRef>
                      </c:ext>
                    </c:extLst>
                    <c:numCache>
                      <c:formatCode>General</c:formatCode>
                      <c:ptCount val="74"/>
                      <c:pt idx="0">
                        <c:v>5.3</c:v>
                      </c:pt>
                      <c:pt idx="1">
                        <c:v>5.4</c:v>
                      </c:pt>
                      <c:pt idx="2">
                        <c:v>5.6</c:v>
                      </c:pt>
                      <c:pt idx="3">
                        <c:v>5.7</c:v>
                      </c:pt>
                      <c:pt idx="4">
                        <c:v>4.9000000000000004</c:v>
                      </c:pt>
                      <c:pt idx="5">
                        <c:v>5.75</c:v>
                      </c:pt>
                      <c:pt idx="6">
                        <c:v>3.2</c:v>
                      </c:pt>
                      <c:pt idx="7">
                        <c:v>6.4</c:v>
                      </c:pt>
                      <c:pt idx="8">
                        <c:v>6.62</c:v>
                      </c:pt>
                      <c:pt idx="9">
                        <c:v>4.5</c:v>
                      </c:pt>
                      <c:pt idx="10">
                        <c:v>6.3</c:v>
                      </c:pt>
                      <c:pt idx="11">
                        <c:v>6.08</c:v>
                      </c:pt>
                      <c:pt idx="12">
                        <c:v>6.3</c:v>
                      </c:pt>
                      <c:pt idx="13">
                        <c:v>6.35</c:v>
                      </c:pt>
                      <c:pt idx="14">
                        <c:v>7.1</c:v>
                      </c:pt>
                      <c:pt idx="15">
                        <c:v>6.05</c:v>
                      </c:pt>
                      <c:pt idx="16">
                        <c:v>6.6</c:v>
                      </c:pt>
                      <c:pt idx="17">
                        <c:v>6.2</c:v>
                      </c:pt>
                      <c:pt idx="18">
                        <c:v>9.5</c:v>
                      </c:pt>
                      <c:pt idx="19">
                        <c:v>8.4</c:v>
                      </c:pt>
                      <c:pt idx="20">
                        <c:v>7.2</c:v>
                      </c:pt>
                      <c:pt idx="21">
                        <c:v>5.8</c:v>
                      </c:pt>
                      <c:pt idx="22">
                        <c:v>6</c:v>
                      </c:pt>
                      <c:pt idx="23">
                        <c:v>6.6</c:v>
                      </c:pt>
                      <c:pt idx="24">
                        <c:v>5.7</c:v>
                      </c:pt>
                      <c:pt idx="25">
                        <c:v>6</c:v>
                      </c:pt>
                      <c:pt idx="26">
                        <c:v>6.3</c:v>
                      </c:pt>
                      <c:pt idx="27">
                        <c:v>6</c:v>
                      </c:pt>
                      <c:pt idx="28">
                        <c:v>6.5</c:v>
                      </c:pt>
                      <c:pt idx="29">
                        <c:v>5.8</c:v>
                      </c:pt>
                      <c:pt idx="30">
                        <c:v>5.8129999999999997</c:v>
                      </c:pt>
                      <c:pt idx="31">
                        <c:v>6.4</c:v>
                      </c:pt>
                      <c:pt idx="32">
                        <c:v>4.5999999999999996</c:v>
                      </c:pt>
                      <c:pt idx="33">
                        <c:v>6.7839999999999998</c:v>
                      </c:pt>
                      <c:pt idx="34">
                        <c:v>5.1150000000000002</c:v>
                      </c:pt>
                      <c:pt idx="35">
                        <c:v>7.4160000000000004</c:v>
                      </c:pt>
                      <c:pt idx="36">
                        <c:v>6.3</c:v>
                      </c:pt>
                      <c:pt idx="37">
                        <c:v>6</c:v>
                      </c:pt>
                      <c:pt idx="38">
                        <c:v>8.3010000000000002</c:v>
                      </c:pt>
                      <c:pt idx="39">
                        <c:v>4.5</c:v>
                      </c:pt>
                      <c:pt idx="40">
                        <c:v>5.5</c:v>
                      </c:pt>
                      <c:pt idx="41">
                        <c:v>6</c:v>
                      </c:pt>
                      <c:pt idx="42">
                        <c:v>6.2</c:v>
                      </c:pt>
                      <c:pt idx="43">
                        <c:v>6.5</c:v>
                      </c:pt>
                      <c:pt idx="44">
                        <c:v>6.2140000000000004</c:v>
                      </c:pt>
                      <c:pt idx="45">
                        <c:v>5.75</c:v>
                      </c:pt>
                      <c:pt idx="46">
                        <c:v>7.4</c:v>
                      </c:pt>
                      <c:pt idx="47">
                        <c:v>6.5</c:v>
                      </c:pt>
                      <c:pt idx="48">
                        <c:v>6.4</c:v>
                      </c:pt>
                      <c:pt idx="49">
                        <c:v>5.7</c:v>
                      </c:pt>
                      <c:pt idx="50">
                        <c:v>6.5</c:v>
                      </c:pt>
                      <c:pt idx="52">
                        <c:v>4.2</c:v>
                      </c:pt>
                      <c:pt idx="53">
                        <c:v>3.65</c:v>
                      </c:pt>
                      <c:pt idx="54">
                        <c:v>5.92</c:v>
                      </c:pt>
                      <c:pt idx="55">
                        <c:v>6.5</c:v>
                      </c:pt>
                      <c:pt idx="56">
                        <c:v>8.0500000000000007</c:v>
                      </c:pt>
                      <c:pt idx="57">
                        <c:v>5.6</c:v>
                      </c:pt>
                      <c:pt idx="58">
                        <c:v>6.2</c:v>
                      </c:pt>
                      <c:pt idx="59">
                        <c:v>8.0500000000000007</c:v>
                      </c:pt>
                      <c:pt idx="60">
                        <c:v>6.5</c:v>
                      </c:pt>
                      <c:pt idx="61">
                        <c:v>7.1</c:v>
                      </c:pt>
                      <c:pt idx="62">
                        <c:v>6.55</c:v>
                      </c:pt>
                      <c:pt idx="63">
                        <c:v>4.5</c:v>
                      </c:pt>
                      <c:pt idx="64">
                        <c:v>5.25</c:v>
                      </c:pt>
                      <c:pt idx="65">
                        <c:v>3.1</c:v>
                      </c:pt>
                      <c:pt idx="66">
                        <c:v>3.1</c:v>
                      </c:pt>
                      <c:pt idx="67">
                        <c:v>5.9</c:v>
                      </c:pt>
                      <c:pt idx="68">
                        <c:v>8.8000000000000007</c:v>
                      </c:pt>
                      <c:pt idx="69">
                        <c:v>6.36</c:v>
                      </c:pt>
                      <c:pt idx="70">
                        <c:v>7.32</c:v>
                      </c:pt>
                      <c:pt idx="71">
                        <c:v>6.36</c:v>
                      </c:pt>
                      <c:pt idx="72">
                        <c:v>6.8</c:v>
                      </c:pt>
                      <c:pt idx="73">
                        <c:v>5.5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ROPAX!$I$144:$I$217</c15:sqref>
                        </c15:formulaRef>
                      </c:ext>
                    </c:extLst>
                    <c:numCache>
                      <c:formatCode>General</c:formatCode>
                      <c:ptCount val="74"/>
                      <c:pt idx="0">
                        <c:v>23.4</c:v>
                      </c:pt>
                      <c:pt idx="1">
                        <c:v>23.4</c:v>
                      </c:pt>
                      <c:pt idx="2">
                        <c:v>22.7</c:v>
                      </c:pt>
                      <c:pt idx="3">
                        <c:v>24.3</c:v>
                      </c:pt>
                      <c:pt idx="4">
                        <c:v>18.899999999999999</c:v>
                      </c:pt>
                      <c:pt idx="5">
                        <c:v>27.6</c:v>
                      </c:pt>
                      <c:pt idx="6">
                        <c:v>15.8</c:v>
                      </c:pt>
                      <c:pt idx="7">
                        <c:v>31.2</c:v>
                      </c:pt>
                      <c:pt idx="8">
                        <c:v>30.4</c:v>
                      </c:pt>
                      <c:pt idx="9">
                        <c:v>20</c:v>
                      </c:pt>
                      <c:pt idx="10">
                        <c:v>30</c:v>
                      </c:pt>
                      <c:pt idx="11">
                        <c:v>23.4</c:v>
                      </c:pt>
                      <c:pt idx="12">
                        <c:v>24.8</c:v>
                      </c:pt>
                      <c:pt idx="13">
                        <c:v>25.7</c:v>
                      </c:pt>
                      <c:pt idx="14">
                        <c:v>26.4</c:v>
                      </c:pt>
                      <c:pt idx="15">
                        <c:v>31.5</c:v>
                      </c:pt>
                      <c:pt idx="16">
                        <c:v>25</c:v>
                      </c:pt>
                      <c:pt idx="17">
                        <c:v>29.5</c:v>
                      </c:pt>
                      <c:pt idx="18">
                        <c:v>32.26</c:v>
                      </c:pt>
                      <c:pt idx="19">
                        <c:v>32.200000000000003</c:v>
                      </c:pt>
                      <c:pt idx="20">
                        <c:v>25</c:v>
                      </c:pt>
                      <c:pt idx="21">
                        <c:v>23.4</c:v>
                      </c:pt>
                      <c:pt idx="22">
                        <c:v>25.2</c:v>
                      </c:pt>
                      <c:pt idx="23">
                        <c:v>20.6</c:v>
                      </c:pt>
                      <c:pt idx="24">
                        <c:v>26</c:v>
                      </c:pt>
                      <c:pt idx="25">
                        <c:v>28.7</c:v>
                      </c:pt>
                      <c:pt idx="26">
                        <c:v>23.6</c:v>
                      </c:pt>
                      <c:pt idx="27">
                        <c:v>21</c:v>
                      </c:pt>
                      <c:pt idx="28">
                        <c:v>25.2</c:v>
                      </c:pt>
                      <c:pt idx="29">
                        <c:v>23.4</c:v>
                      </c:pt>
                      <c:pt idx="30">
                        <c:v>22.7</c:v>
                      </c:pt>
                      <c:pt idx="31">
                        <c:v>25.4</c:v>
                      </c:pt>
                      <c:pt idx="32">
                        <c:v>16.5</c:v>
                      </c:pt>
                      <c:pt idx="33">
                        <c:v>26.5</c:v>
                      </c:pt>
                      <c:pt idx="34">
                        <c:v>21.8</c:v>
                      </c:pt>
                      <c:pt idx="35">
                        <c:v>28.7</c:v>
                      </c:pt>
                      <c:pt idx="36">
                        <c:v>31.6</c:v>
                      </c:pt>
                      <c:pt idx="37">
                        <c:v>23.4</c:v>
                      </c:pt>
                      <c:pt idx="38">
                        <c:v>25.3</c:v>
                      </c:pt>
                      <c:pt idx="39">
                        <c:v>18.5</c:v>
                      </c:pt>
                      <c:pt idx="40">
                        <c:v>25.7</c:v>
                      </c:pt>
                      <c:pt idx="41">
                        <c:v>24</c:v>
                      </c:pt>
                      <c:pt idx="42">
                        <c:v>29.5</c:v>
                      </c:pt>
                      <c:pt idx="43">
                        <c:v>28.3</c:v>
                      </c:pt>
                      <c:pt idx="44">
                        <c:v>28.7</c:v>
                      </c:pt>
                      <c:pt idx="45">
                        <c:v>23.9</c:v>
                      </c:pt>
                      <c:pt idx="46">
                        <c:v>28.7</c:v>
                      </c:pt>
                      <c:pt idx="47">
                        <c:v>27.7</c:v>
                      </c:pt>
                      <c:pt idx="48">
                        <c:v>35.200000000000003</c:v>
                      </c:pt>
                      <c:pt idx="49">
                        <c:v>26.5</c:v>
                      </c:pt>
                      <c:pt idx="50">
                        <c:v>30.8</c:v>
                      </c:pt>
                      <c:pt idx="51">
                        <c:v>28.9</c:v>
                      </c:pt>
                      <c:pt idx="52">
                        <c:v>30.4</c:v>
                      </c:pt>
                      <c:pt idx="53">
                        <c:v>23.8</c:v>
                      </c:pt>
                      <c:pt idx="54">
                        <c:v>21.8</c:v>
                      </c:pt>
                      <c:pt idx="55">
                        <c:v>25.8</c:v>
                      </c:pt>
                      <c:pt idx="56">
                        <c:v>36</c:v>
                      </c:pt>
                      <c:pt idx="57">
                        <c:v>24</c:v>
                      </c:pt>
                      <c:pt idx="58">
                        <c:v>28</c:v>
                      </c:pt>
                      <c:pt idx="59">
                        <c:v>35.799999999999997</c:v>
                      </c:pt>
                      <c:pt idx="60">
                        <c:v>27.7</c:v>
                      </c:pt>
                      <c:pt idx="61">
                        <c:v>0</c:v>
                      </c:pt>
                      <c:pt idx="62">
                        <c:v>28</c:v>
                      </c:pt>
                      <c:pt idx="63">
                        <c:v>12.84</c:v>
                      </c:pt>
                      <c:pt idx="64">
                        <c:v>17.61</c:v>
                      </c:pt>
                      <c:pt idx="65">
                        <c:v>12.8</c:v>
                      </c:pt>
                      <c:pt idx="66">
                        <c:v>12.8</c:v>
                      </c:pt>
                      <c:pt idx="67">
                        <c:v>18.2</c:v>
                      </c:pt>
                      <c:pt idx="68">
                        <c:v>47.4</c:v>
                      </c:pt>
                      <c:pt idx="69">
                        <c:v>27.5</c:v>
                      </c:pt>
                      <c:pt idx="70">
                        <c:v>32.200000000000003</c:v>
                      </c:pt>
                      <c:pt idx="71">
                        <c:v>27.5</c:v>
                      </c:pt>
                      <c:pt idx="72">
                        <c:v>32.42</c:v>
                      </c:pt>
                      <c:pt idx="73">
                        <c:v>24.8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FF05-4E7E-8483-01719EFCF23C}"/>
                  </c:ext>
                </c:extLst>
              </c15:ser>
            </c15:filteredScatterSeries>
          </c:ext>
        </c:extLst>
      </c:scatterChart>
      <c:valAx>
        <c:axId val="219258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258408"/>
        <c:crosses val="autoZero"/>
        <c:crossBetween val="midCat"/>
      </c:valAx>
      <c:valAx>
        <c:axId val="219258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258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B(DWT)</a:t>
            </a:r>
          </a:p>
        </c:rich>
      </c:tx>
      <c:layout>
        <c:manualLayout>
          <c:xMode val="edge"/>
          <c:yMode val="edge"/>
          <c:x val="0.425138888888888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DWT(B)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ROPAX!$C$144:$C$217</c:f>
              <c:numCache>
                <c:formatCode>General</c:formatCode>
                <c:ptCount val="74"/>
                <c:pt idx="0">
                  <c:v>2883</c:v>
                </c:pt>
                <c:pt idx="1">
                  <c:v>3009</c:v>
                </c:pt>
                <c:pt idx="2">
                  <c:v>2652</c:v>
                </c:pt>
                <c:pt idx="3">
                  <c:v>3600</c:v>
                </c:pt>
                <c:pt idx="4">
                  <c:v>1858</c:v>
                </c:pt>
                <c:pt idx="6">
                  <c:v>670</c:v>
                </c:pt>
                <c:pt idx="7">
                  <c:v>9665</c:v>
                </c:pt>
                <c:pt idx="8">
                  <c:v>3400</c:v>
                </c:pt>
                <c:pt idx="9">
                  <c:v>1250</c:v>
                </c:pt>
                <c:pt idx="10">
                  <c:v>5230</c:v>
                </c:pt>
                <c:pt idx="11">
                  <c:v>7100</c:v>
                </c:pt>
                <c:pt idx="12">
                  <c:v>3500</c:v>
                </c:pt>
                <c:pt idx="13">
                  <c:v>4563</c:v>
                </c:pt>
                <c:pt idx="14">
                  <c:v>6300</c:v>
                </c:pt>
                <c:pt idx="15">
                  <c:v>9268</c:v>
                </c:pt>
                <c:pt idx="16">
                  <c:v>6800</c:v>
                </c:pt>
                <c:pt idx="17">
                  <c:v>7200</c:v>
                </c:pt>
                <c:pt idx="18">
                  <c:v>13200</c:v>
                </c:pt>
                <c:pt idx="19">
                  <c:v>10600</c:v>
                </c:pt>
                <c:pt idx="20">
                  <c:v>5800</c:v>
                </c:pt>
                <c:pt idx="21">
                  <c:v>6170</c:v>
                </c:pt>
                <c:pt idx="22">
                  <c:v>9600</c:v>
                </c:pt>
                <c:pt idx="23">
                  <c:v>8050</c:v>
                </c:pt>
                <c:pt idx="24">
                  <c:v>7730</c:v>
                </c:pt>
                <c:pt idx="25">
                  <c:v>6800</c:v>
                </c:pt>
                <c:pt idx="26">
                  <c:v>7200</c:v>
                </c:pt>
                <c:pt idx="27">
                  <c:v>5238</c:v>
                </c:pt>
                <c:pt idx="28">
                  <c:v>7300</c:v>
                </c:pt>
                <c:pt idx="29">
                  <c:v>4504</c:v>
                </c:pt>
                <c:pt idx="30">
                  <c:v>2100</c:v>
                </c:pt>
                <c:pt idx="31">
                  <c:v>6920</c:v>
                </c:pt>
                <c:pt idx="32">
                  <c:v>950</c:v>
                </c:pt>
                <c:pt idx="33">
                  <c:v>6965</c:v>
                </c:pt>
                <c:pt idx="34">
                  <c:v>5024</c:v>
                </c:pt>
                <c:pt idx="35">
                  <c:v>11558</c:v>
                </c:pt>
                <c:pt idx="36">
                  <c:v>10466</c:v>
                </c:pt>
                <c:pt idx="37">
                  <c:v>7324</c:v>
                </c:pt>
                <c:pt idx="38">
                  <c:v>10996</c:v>
                </c:pt>
                <c:pt idx="39">
                  <c:v>1200</c:v>
                </c:pt>
                <c:pt idx="40">
                  <c:v>4275</c:v>
                </c:pt>
                <c:pt idx="41">
                  <c:v>2900</c:v>
                </c:pt>
                <c:pt idx="42">
                  <c:v>6705</c:v>
                </c:pt>
                <c:pt idx="43">
                  <c:v>5700</c:v>
                </c:pt>
                <c:pt idx="44">
                  <c:v>8383</c:v>
                </c:pt>
                <c:pt idx="45">
                  <c:v>5794</c:v>
                </c:pt>
                <c:pt idx="46">
                  <c:v>11682</c:v>
                </c:pt>
                <c:pt idx="47">
                  <c:v>4700</c:v>
                </c:pt>
                <c:pt idx="48">
                  <c:v>4850</c:v>
                </c:pt>
                <c:pt idx="49">
                  <c:v>8900</c:v>
                </c:pt>
                <c:pt idx="50">
                  <c:v>9500</c:v>
                </c:pt>
                <c:pt idx="51">
                  <c:v>7800</c:v>
                </c:pt>
                <c:pt idx="52">
                  <c:v>1000</c:v>
                </c:pt>
                <c:pt idx="53">
                  <c:v>936</c:v>
                </c:pt>
                <c:pt idx="54">
                  <c:v>2402</c:v>
                </c:pt>
                <c:pt idx="57">
                  <c:v>2412</c:v>
                </c:pt>
                <c:pt idx="58">
                  <c:v>7598</c:v>
                </c:pt>
                <c:pt idx="59">
                  <c:v>7900</c:v>
                </c:pt>
                <c:pt idx="60">
                  <c:v>7178</c:v>
                </c:pt>
                <c:pt idx="61">
                  <c:v>9653</c:v>
                </c:pt>
                <c:pt idx="62">
                  <c:v>5700</c:v>
                </c:pt>
                <c:pt idx="63">
                  <c:v>346</c:v>
                </c:pt>
                <c:pt idx="64">
                  <c:v>740</c:v>
                </c:pt>
                <c:pt idx="65">
                  <c:v>254</c:v>
                </c:pt>
                <c:pt idx="66">
                  <c:v>254</c:v>
                </c:pt>
                <c:pt idx="67">
                  <c:v>1738</c:v>
                </c:pt>
                <c:pt idx="68">
                  <c:v>11033</c:v>
                </c:pt>
                <c:pt idx="69">
                  <c:v>3900</c:v>
                </c:pt>
                <c:pt idx="70">
                  <c:v>7662</c:v>
                </c:pt>
                <c:pt idx="71">
                  <c:v>3900</c:v>
                </c:pt>
                <c:pt idx="72">
                  <c:v>6107</c:v>
                </c:pt>
                <c:pt idx="73">
                  <c:v>3000</c:v>
                </c:pt>
              </c:numCache>
            </c:numRef>
          </c:xVal>
          <c:yVal>
            <c:numRef>
              <c:f>ROPAX!$I$144:$I$217</c:f>
              <c:numCache>
                <c:formatCode>General</c:formatCode>
                <c:ptCount val="74"/>
                <c:pt idx="0">
                  <c:v>23.4</c:v>
                </c:pt>
                <c:pt idx="1">
                  <c:v>23.4</c:v>
                </c:pt>
                <c:pt idx="2">
                  <c:v>22.7</c:v>
                </c:pt>
                <c:pt idx="3">
                  <c:v>24.3</c:v>
                </c:pt>
                <c:pt idx="4">
                  <c:v>18.899999999999999</c:v>
                </c:pt>
                <c:pt idx="5">
                  <c:v>27.6</c:v>
                </c:pt>
                <c:pt idx="6">
                  <c:v>15.8</c:v>
                </c:pt>
                <c:pt idx="7">
                  <c:v>31.2</c:v>
                </c:pt>
                <c:pt idx="8">
                  <c:v>30.4</c:v>
                </c:pt>
                <c:pt idx="9">
                  <c:v>20</c:v>
                </c:pt>
                <c:pt idx="10">
                  <c:v>30</c:v>
                </c:pt>
                <c:pt idx="11">
                  <c:v>23.4</c:v>
                </c:pt>
                <c:pt idx="12">
                  <c:v>24.8</c:v>
                </c:pt>
                <c:pt idx="13">
                  <c:v>25.7</c:v>
                </c:pt>
                <c:pt idx="14">
                  <c:v>26.4</c:v>
                </c:pt>
                <c:pt idx="15">
                  <c:v>31.5</c:v>
                </c:pt>
                <c:pt idx="16">
                  <c:v>25</c:v>
                </c:pt>
                <c:pt idx="17">
                  <c:v>29.5</c:v>
                </c:pt>
                <c:pt idx="18">
                  <c:v>32.26</c:v>
                </c:pt>
                <c:pt idx="19">
                  <c:v>32.200000000000003</c:v>
                </c:pt>
                <c:pt idx="20">
                  <c:v>25</c:v>
                </c:pt>
                <c:pt idx="21">
                  <c:v>23.4</c:v>
                </c:pt>
                <c:pt idx="22">
                  <c:v>25.2</c:v>
                </c:pt>
                <c:pt idx="23">
                  <c:v>20.6</c:v>
                </c:pt>
                <c:pt idx="24">
                  <c:v>26</c:v>
                </c:pt>
                <c:pt idx="25">
                  <c:v>28.7</c:v>
                </c:pt>
                <c:pt idx="26">
                  <c:v>23.6</c:v>
                </c:pt>
                <c:pt idx="27">
                  <c:v>21</c:v>
                </c:pt>
                <c:pt idx="28">
                  <c:v>25.2</c:v>
                </c:pt>
                <c:pt idx="29">
                  <c:v>23.4</c:v>
                </c:pt>
                <c:pt idx="30">
                  <c:v>22.7</c:v>
                </c:pt>
                <c:pt idx="31">
                  <c:v>25.4</c:v>
                </c:pt>
                <c:pt idx="32">
                  <c:v>16.5</c:v>
                </c:pt>
                <c:pt idx="33">
                  <c:v>26.5</c:v>
                </c:pt>
                <c:pt idx="34">
                  <c:v>21.8</c:v>
                </c:pt>
                <c:pt idx="35">
                  <c:v>28.7</c:v>
                </c:pt>
                <c:pt idx="36">
                  <c:v>31.6</c:v>
                </c:pt>
                <c:pt idx="37">
                  <c:v>23.4</c:v>
                </c:pt>
                <c:pt idx="38">
                  <c:v>25.3</c:v>
                </c:pt>
                <c:pt idx="39">
                  <c:v>18.5</c:v>
                </c:pt>
                <c:pt idx="40">
                  <c:v>25.7</c:v>
                </c:pt>
                <c:pt idx="41">
                  <c:v>24</c:v>
                </c:pt>
                <c:pt idx="42">
                  <c:v>29.5</c:v>
                </c:pt>
                <c:pt idx="43">
                  <c:v>28.3</c:v>
                </c:pt>
                <c:pt idx="44">
                  <c:v>28.7</c:v>
                </c:pt>
                <c:pt idx="45">
                  <c:v>23.9</c:v>
                </c:pt>
                <c:pt idx="46">
                  <c:v>28.7</c:v>
                </c:pt>
                <c:pt idx="47">
                  <c:v>27.7</c:v>
                </c:pt>
                <c:pt idx="48">
                  <c:v>35.200000000000003</c:v>
                </c:pt>
                <c:pt idx="49">
                  <c:v>26.5</c:v>
                </c:pt>
                <c:pt idx="50">
                  <c:v>30.8</c:v>
                </c:pt>
                <c:pt idx="51">
                  <c:v>28.9</c:v>
                </c:pt>
                <c:pt idx="52">
                  <c:v>30.4</c:v>
                </c:pt>
                <c:pt idx="53">
                  <c:v>23.8</c:v>
                </c:pt>
                <c:pt idx="54">
                  <c:v>21.8</c:v>
                </c:pt>
                <c:pt idx="55">
                  <c:v>25.8</c:v>
                </c:pt>
                <c:pt idx="56">
                  <c:v>36</c:v>
                </c:pt>
                <c:pt idx="57">
                  <c:v>24</c:v>
                </c:pt>
                <c:pt idx="58">
                  <c:v>28</c:v>
                </c:pt>
                <c:pt idx="59">
                  <c:v>35.799999999999997</c:v>
                </c:pt>
                <c:pt idx="60">
                  <c:v>27.7</c:v>
                </c:pt>
                <c:pt idx="61">
                  <c:v>0</c:v>
                </c:pt>
                <c:pt idx="62">
                  <c:v>28</c:v>
                </c:pt>
                <c:pt idx="63">
                  <c:v>12.84</c:v>
                </c:pt>
                <c:pt idx="64">
                  <c:v>17.61</c:v>
                </c:pt>
                <c:pt idx="65">
                  <c:v>12.8</c:v>
                </c:pt>
                <c:pt idx="66">
                  <c:v>12.8</c:v>
                </c:pt>
                <c:pt idx="67">
                  <c:v>18.2</c:v>
                </c:pt>
                <c:pt idx="68">
                  <c:v>47.4</c:v>
                </c:pt>
                <c:pt idx="69">
                  <c:v>27.5</c:v>
                </c:pt>
                <c:pt idx="70">
                  <c:v>32.200000000000003</c:v>
                </c:pt>
                <c:pt idx="71">
                  <c:v>27.5</c:v>
                </c:pt>
                <c:pt idx="72">
                  <c:v>32.42</c:v>
                </c:pt>
                <c:pt idx="73">
                  <c:v>24.8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D5-49E8-AA7C-11195F895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124136"/>
        <c:axId val="221182320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B(DWT)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strRef>
                    <c:extLst>
                      <c:ext uri="{02D57815-91ED-43cb-92C2-25804820EDAC}">
                        <c15:formulaRef>
                          <c15:sqref>ROPAX!$I$144:$I$217</c15:sqref>
                        </c15:formulaRef>
                      </c:ext>
                    </c:extLst>
                    <c:strCache>
                      <c:ptCount val="74"/>
                      <c:pt idx="0">
                        <c:v>23.4</c:v>
                      </c:pt>
                      <c:pt idx="1">
                        <c:v>23.4</c:v>
                      </c:pt>
                      <c:pt idx="2">
                        <c:v>22.7</c:v>
                      </c:pt>
                      <c:pt idx="3">
                        <c:v>24.3</c:v>
                      </c:pt>
                      <c:pt idx="4">
                        <c:v>18.9</c:v>
                      </c:pt>
                      <c:pt idx="5">
                        <c:v>27.6</c:v>
                      </c:pt>
                      <c:pt idx="6">
                        <c:v>15.8</c:v>
                      </c:pt>
                      <c:pt idx="7">
                        <c:v>31.2</c:v>
                      </c:pt>
                      <c:pt idx="8">
                        <c:v>30.4</c:v>
                      </c:pt>
                      <c:pt idx="9">
                        <c:v>20</c:v>
                      </c:pt>
                      <c:pt idx="10">
                        <c:v>30</c:v>
                      </c:pt>
                      <c:pt idx="11">
                        <c:v>23.4</c:v>
                      </c:pt>
                      <c:pt idx="12">
                        <c:v>24.8</c:v>
                      </c:pt>
                      <c:pt idx="13">
                        <c:v>25.7</c:v>
                      </c:pt>
                      <c:pt idx="14">
                        <c:v>26.4</c:v>
                      </c:pt>
                      <c:pt idx="15">
                        <c:v>31.5</c:v>
                      </c:pt>
                      <c:pt idx="16">
                        <c:v>25</c:v>
                      </c:pt>
                      <c:pt idx="17">
                        <c:v>29.5</c:v>
                      </c:pt>
                      <c:pt idx="18">
                        <c:v>32.26</c:v>
                      </c:pt>
                      <c:pt idx="19">
                        <c:v>32.2</c:v>
                      </c:pt>
                      <c:pt idx="20">
                        <c:v>25</c:v>
                      </c:pt>
                      <c:pt idx="21">
                        <c:v>23.4</c:v>
                      </c:pt>
                      <c:pt idx="22">
                        <c:v>25.2</c:v>
                      </c:pt>
                      <c:pt idx="23">
                        <c:v>20.6</c:v>
                      </c:pt>
                      <c:pt idx="24">
                        <c:v>26</c:v>
                      </c:pt>
                      <c:pt idx="25">
                        <c:v>28.7</c:v>
                      </c:pt>
                      <c:pt idx="26">
                        <c:v>23.6</c:v>
                      </c:pt>
                      <c:pt idx="27">
                        <c:v>21</c:v>
                      </c:pt>
                      <c:pt idx="28">
                        <c:v>25.2</c:v>
                      </c:pt>
                      <c:pt idx="29">
                        <c:v>23.4</c:v>
                      </c:pt>
                      <c:pt idx="30">
                        <c:v>22.7</c:v>
                      </c:pt>
                      <c:pt idx="31">
                        <c:v>25.4</c:v>
                      </c:pt>
                      <c:pt idx="32">
                        <c:v>16.5</c:v>
                      </c:pt>
                      <c:pt idx="33">
                        <c:v>26.5</c:v>
                      </c:pt>
                      <c:pt idx="34">
                        <c:v>21.8</c:v>
                      </c:pt>
                      <c:pt idx="35">
                        <c:v>28.7</c:v>
                      </c:pt>
                      <c:pt idx="36">
                        <c:v>31.6</c:v>
                      </c:pt>
                      <c:pt idx="37">
                        <c:v>23.4</c:v>
                      </c:pt>
                      <c:pt idx="38">
                        <c:v>25.3</c:v>
                      </c:pt>
                      <c:pt idx="39">
                        <c:v>18.5</c:v>
                      </c:pt>
                      <c:pt idx="40">
                        <c:v>25.7</c:v>
                      </c:pt>
                      <c:pt idx="41">
                        <c:v>24</c:v>
                      </c:pt>
                      <c:pt idx="42">
                        <c:v>29.5</c:v>
                      </c:pt>
                      <c:pt idx="43">
                        <c:v>28.3</c:v>
                      </c:pt>
                      <c:pt idx="44">
                        <c:v>28.7</c:v>
                      </c:pt>
                      <c:pt idx="45">
                        <c:v>23.9</c:v>
                      </c:pt>
                      <c:pt idx="46">
                        <c:v>28.7</c:v>
                      </c:pt>
                      <c:pt idx="47">
                        <c:v>27.7</c:v>
                      </c:pt>
                      <c:pt idx="48">
                        <c:v>35.2</c:v>
                      </c:pt>
                      <c:pt idx="49">
                        <c:v>26.5</c:v>
                      </c:pt>
                      <c:pt idx="50">
                        <c:v>30.8</c:v>
                      </c:pt>
                      <c:pt idx="51">
                        <c:v>28.9</c:v>
                      </c:pt>
                      <c:pt idx="52">
                        <c:v>30.4</c:v>
                      </c:pt>
                      <c:pt idx="53">
                        <c:v>23.8</c:v>
                      </c:pt>
                      <c:pt idx="54">
                        <c:v>21.8</c:v>
                      </c:pt>
                      <c:pt idx="55">
                        <c:v>25.8</c:v>
                      </c:pt>
                      <c:pt idx="56">
                        <c:v>36</c:v>
                      </c:pt>
                      <c:pt idx="57">
                        <c:v>24</c:v>
                      </c:pt>
                      <c:pt idx="58">
                        <c:v>28</c:v>
                      </c:pt>
                      <c:pt idx="59">
                        <c:v>35.8</c:v>
                      </c:pt>
                      <c:pt idx="60">
                        <c:v>27.7</c:v>
                      </c:pt>
                      <c:pt idx="61">
                        <c:v>30.52</c:v>
                      </c:pt>
                      <c:pt idx="62">
                        <c:v>28</c:v>
                      </c:pt>
                      <c:pt idx="63">
                        <c:v>12.84</c:v>
                      </c:pt>
                      <c:pt idx="64">
                        <c:v>17.61</c:v>
                      </c:pt>
                      <c:pt idx="65">
                        <c:v>12.8</c:v>
                      </c:pt>
                      <c:pt idx="66">
                        <c:v>12.8</c:v>
                      </c:pt>
                      <c:pt idx="67">
                        <c:v>18.2</c:v>
                      </c:pt>
                      <c:pt idx="68">
                        <c:v>47.4</c:v>
                      </c:pt>
                      <c:pt idx="69">
                        <c:v>27.5</c:v>
                      </c:pt>
                      <c:pt idx="70">
                        <c:v>32.2</c:v>
                      </c:pt>
                      <c:pt idx="71">
                        <c:v>27.5</c:v>
                      </c:pt>
                      <c:pt idx="72">
                        <c:v>32.42</c:v>
                      </c:pt>
                      <c:pt idx="73">
                        <c:v>24.8</c:v>
                      </c:pt>
                    </c:strCache>
                  </c:strRef>
                </c:xVal>
                <c:yVal>
                  <c:numRef>
                    <c:extLst>
                      <c:ext uri="{02D57815-91ED-43cb-92C2-25804820EDAC}">
                        <c15:formulaRef>
                          <c15:sqref>ROPAX!$C$144:$C$217</c15:sqref>
                        </c15:formulaRef>
                      </c:ext>
                    </c:extLst>
                    <c:numCache>
                      <c:formatCode>General</c:formatCode>
                      <c:ptCount val="74"/>
                      <c:pt idx="0">
                        <c:v>2883</c:v>
                      </c:pt>
                      <c:pt idx="1">
                        <c:v>3009</c:v>
                      </c:pt>
                      <c:pt idx="2">
                        <c:v>2652</c:v>
                      </c:pt>
                      <c:pt idx="3">
                        <c:v>3600</c:v>
                      </c:pt>
                      <c:pt idx="4">
                        <c:v>1858</c:v>
                      </c:pt>
                      <c:pt idx="6">
                        <c:v>670</c:v>
                      </c:pt>
                      <c:pt idx="7">
                        <c:v>9665</c:v>
                      </c:pt>
                      <c:pt idx="8">
                        <c:v>3400</c:v>
                      </c:pt>
                      <c:pt idx="9">
                        <c:v>1250</c:v>
                      </c:pt>
                      <c:pt idx="10">
                        <c:v>5230</c:v>
                      </c:pt>
                      <c:pt idx="11">
                        <c:v>7100</c:v>
                      </c:pt>
                      <c:pt idx="12">
                        <c:v>3500</c:v>
                      </c:pt>
                      <c:pt idx="13">
                        <c:v>4563</c:v>
                      </c:pt>
                      <c:pt idx="14">
                        <c:v>6300</c:v>
                      </c:pt>
                      <c:pt idx="15">
                        <c:v>9268</c:v>
                      </c:pt>
                      <c:pt idx="16">
                        <c:v>6800</c:v>
                      </c:pt>
                      <c:pt idx="17">
                        <c:v>7200</c:v>
                      </c:pt>
                      <c:pt idx="18">
                        <c:v>13200</c:v>
                      </c:pt>
                      <c:pt idx="19">
                        <c:v>10600</c:v>
                      </c:pt>
                      <c:pt idx="20">
                        <c:v>5800</c:v>
                      </c:pt>
                      <c:pt idx="21">
                        <c:v>6170</c:v>
                      </c:pt>
                      <c:pt idx="22">
                        <c:v>9600</c:v>
                      </c:pt>
                      <c:pt idx="23">
                        <c:v>8050</c:v>
                      </c:pt>
                      <c:pt idx="24">
                        <c:v>7730</c:v>
                      </c:pt>
                      <c:pt idx="25">
                        <c:v>6800</c:v>
                      </c:pt>
                      <c:pt idx="26">
                        <c:v>7200</c:v>
                      </c:pt>
                      <c:pt idx="27">
                        <c:v>5238</c:v>
                      </c:pt>
                      <c:pt idx="28">
                        <c:v>7300</c:v>
                      </c:pt>
                      <c:pt idx="29">
                        <c:v>4504</c:v>
                      </c:pt>
                      <c:pt idx="30">
                        <c:v>2100</c:v>
                      </c:pt>
                      <c:pt idx="31">
                        <c:v>6920</c:v>
                      </c:pt>
                      <c:pt idx="32">
                        <c:v>950</c:v>
                      </c:pt>
                      <c:pt idx="33">
                        <c:v>6965</c:v>
                      </c:pt>
                      <c:pt idx="34">
                        <c:v>5024</c:v>
                      </c:pt>
                      <c:pt idx="35">
                        <c:v>11558</c:v>
                      </c:pt>
                      <c:pt idx="36">
                        <c:v>10466</c:v>
                      </c:pt>
                      <c:pt idx="37">
                        <c:v>7324</c:v>
                      </c:pt>
                      <c:pt idx="38">
                        <c:v>10996</c:v>
                      </c:pt>
                      <c:pt idx="39">
                        <c:v>1200</c:v>
                      </c:pt>
                      <c:pt idx="40">
                        <c:v>4275</c:v>
                      </c:pt>
                      <c:pt idx="41">
                        <c:v>2900</c:v>
                      </c:pt>
                      <c:pt idx="42">
                        <c:v>6705</c:v>
                      </c:pt>
                      <c:pt idx="43">
                        <c:v>5700</c:v>
                      </c:pt>
                      <c:pt idx="44">
                        <c:v>8383</c:v>
                      </c:pt>
                      <c:pt idx="45">
                        <c:v>5794</c:v>
                      </c:pt>
                      <c:pt idx="46">
                        <c:v>11682</c:v>
                      </c:pt>
                      <c:pt idx="47">
                        <c:v>4700</c:v>
                      </c:pt>
                      <c:pt idx="48">
                        <c:v>4850</c:v>
                      </c:pt>
                      <c:pt idx="49">
                        <c:v>8900</c:v>
                      </c:pt>
                      <c:pt idx="50">
                        <c:v>9500</c:v>
                      </c:pt>
                      <c:pt idx="51">
                        <c:v>7800</c:v>
                      </c:pt>
                      <c:pt idx="52">
                        <c:v>1000</c:v>
                      </c:pt>
                      <c:pt idx="53">
                        <c:v>936</c:v>
                      </c:pt>
                      <c:pt idx="54">
                        <c:v>2402</c:v>
                      </c:pt>
                      <c:pt idx="57">
                        <c:v>2412</c:v>
                      </c:pt>
                      <c:pt idx="58">
                        <c:v>7598</c:v>
                      </c:pt>
                      <c:pt idx="59">
                        <c:v>7900</c:v>
                      </c:pt>
                      <c:pt idx="60">
                        <c:v>7178</c:v>
                      </c:pt>
                      <c:pt idx="61">
                        <c:v>9653</c:v>
                      </c:pt>
                      <c:pt idx="62">
                        <c:v>5700</c:v>
                      </c:pt>
                      <c:pt idx="63">
                        <c:v>346</c:v>
                      </c:pt>
                      <c:pt idx="64">
                        <c:v>740</c:v>
                      </c:pt>
                      <c:pt idx="65">
                        <c:v>254</c:v>
                      </c:pt>
                      <c:pt idx="66">
                        <c:v>254</c:v>
                      </c:pt>
                      <c:pt idx="67">
                        <c:v>1738</c:v>
                      </c:pt>
                      <c:pt idx="68">
                        <c:v>11033</c:v>
                      </c:pt>
                      <c:pt idx="69">
                        <c:v>3900</c:v>
                      </c:pt>
                      <c:pt idx="70">
                        <c:v>7662</c:v>
                      </c:pt>
                      <c:pt idx="71">
                        <c:v>3900</c:v>
                      </c:pt>
                      <c:pt idx="72">
                        <c:v>6107</c:v>
                      </c:pt>
                      <c:pt idx="73">
                        <c:v>3000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BDD5-49E8-AA7C-11195F895B17}"/>
                  </c:ext>
                </c:extLst>
              </c15:ser>
            </c15:filteredScatterSeries>
          </c:ext>
        </c:extLst>
      </c:scatterChart>
      <c:valAx>
        <c:axId val="221124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182320"/>
        <c:crosses val="autoZero"/>
        <c:crossBetween val="midCat"/>
      </c:valAx>
      <c:valAx>
        <c:axId val="22118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124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0"/>
          </c:trendline>
          <c:xVal>
            <c:numRef>
              <c:f>Cruise!$K$104:$K$342</c:f>
              <c:numCache>
                <c:formatCode>General</c:formatCode>
                <c:ptCount val="239"/>
                <c:pt idx="0">
                  <c:v>56</c:v>
                </c:pt>
                <c:pt idx="1">
                  <c:v>65</c:v>
                </c:pt>
                <c:pt idx="2">
                  <c:v>48</c:v>
                </c:pt>
                <c:pt idx="3">
                  <c:v>32.200000000000003</c:v>
                </c:pt>
                <c:pt idx="4">
                  <c:v>65</c:v>
                </c:pt>
                <c:pt idx="5">
                  <c:v>47</c:v>
                </c:pt>
                <c:pt idx="6">
                  <c:v>41.4</c:v>
                </c:pt>
                <c:pt idx="7">
                  <c:v>25.46</c:v>
                </c:pt>
                <c:pt idx="8">
                  <c:v>36</c:v>
                </c:pt>
                <c:pt idx="9">
                  <c:v>37</c:v>
                </c:pt>
                <c:pt idx="10">
                  <c:v>35.5</c:v>
                </c:pt>
                <c:pt idx="11">
                  <c:v>35.299999999999997</c:v>
                </c:pt>
                <c:pt idx="12">
                  <c:v>48</c:v>
                </c:pt>
                <c:pt idx="13">
                  <c:v>41</c:v>
                </c:pt>
                <c:pt idx="14">
                  <c:v>31.4</c:v>
                </c:pt>
                <c:pt idx="15">
                  <c:v>32.200000000000003</c:v>
                </c:pt>
                <c:pt idx="16">
                  <c:v>32.200000000000003</c:v>
                </c:pt>
                <c:pt idx="17">
                  <c:v>48</c:v>
                </c:pt>
                <c:pt idx="18">
                  <c:v>37</c:v>
                </c:pt>
                <c:pt idx="19">
                  <c:v>37</c:v>
                </c:pt>
                <c:pt idx="20">
                  <c:v>32.200000000000003</c:v>
                </c:pt>
                <c:pt idx="21">
                  <c:v>32.200000000000003</c:v>
                </c:pt>
                <c:pt idx="22">
                  <c:v>37.4</c:v>
                </c:pt>
                <c:pt idx="23">
                  <c:v>38</c:v>
                </c:pt>
                <c:pt idx="24">
                  <c:v>48</c:v>
                </c:pt>
                <c:pt idx="25">
                  <c:v>37</c:v>
                </c:pt>
                <c:pt idx="26">
                  <c:v>48</c:v>
                </c:pt>
                <c:pt idx="27">
                  <c:v>14.8</c:v>
                </c:pt>
                <c:pt idx="28">
                  <c:v>35.840000000000003</c:v>
                </c:pt>
                <c:pt idx="29">
                  <c:v>16.239999999999998</c:v>
                </c:pt>
                <c:pt idx="30">
                  <c:v>16</c:v>
                </c:pt>
                <c:pt idx="31">
                  <c:v>16</c:v>
                </c:pt>
                <c:pt idx="32" formatCode="0.00">
                  <c:v>21.4</c:v>
                </c:pt>
                <c:pt idx="33">
                  <c:v>35</c:v>
                </c:pt>
                <c:pt idx="34">
                  <c:v>32.200000000000003</c:v>
                </c:pt>
                <c:pt idx="35">
                  <c:v>15</c:v>
                </c:pt>
                <c:pt idx="36">
                  <c:v>32</c:v>
                </c:pt>
                <c:pt idx="37">
                  <c:v>32</c:v>
                </c:pt>
                <c:pt idx="38">
                  <c:v>30</c:v>
                </c:pt>
                <c:pt idx="39">
                  <c:v>32.200000000000003</c:v>
                </c:pt>
                <c:pt idx="40">
                  <c:v>37.5</c:v>
                </c:pt>
                <c:pt idx="41">
                  <c:v>37</c:v>
                </c:pt>
                <c:pt idx="42">
                  <c:v>37</c:v>
                </c:pt>
                <c:pt idx="43">
                  <c:v>42</c:v>
                </c:pt>
                <c:pt idx="44">
                  <c:v>15.3</c:v>
                </c:pt>
                <c:pt idx="45">
                  <c:v>36</c:v>
                </c:pt>
                <c:pt idx="46">
                  <c:v>32.200000000000003</c:v>
                </c:pt>
                <c:pt idx="47">
                  <c:v>30.5</c:v>
                </c:pt>
                <c:pt idx="48">
                  <c:v>48</c:v>
                </c:pt>
                <c:pt idx="49">
                  <c:v>38</c:v>
                </c:pt>
                <c:pt idx="50">
                  <c:v>28.7</c:v>
                </c:pt>
                <c:pt idx="51">
                  <c:v>30.5</c:v>
                </c:pt>
                <c:pt idx="52">
                  <c:v>56</c:v>
                </c:pt>
                <c:pt idx="53">
                  <c:v>15.3</c:v>
                </c:pt>
                <c:pt idx="54">
                  <c:v>29</c:v>
                </c:pt>
                <c:pt idx="55">
                  <c:v>39.700000000000003</c:v>
                </c:pt>
                <c:pt idx="56">
                  <c:v>47.42</c:v>
                </c:pt>
                <c:pt idx="57">
                  <c:v>38</c:v>
                </c:pt>
                <c:pt idx="58">
                  <c:v>16</c:v>
                </c:pt>
                <c:pt idx="59">
                  <c:v>56</c:v>
                </c:pt>
                <c:pt idx="60">
                  <c:v>38</c:v>
                </c:pt>
                <c:pt idx="62">
                  <c:v>27.6</c:v>
                </c:pt>
                <c:pt idx="63">
                  <c:v>15</c:v>
                </c:pt>
                <c:pt idx="64">
                  <c:v>32.200000000000003</c:v>
                </c:pt>
                <c:pt idx="65">
                  <c:v>35</c:v>
                </c:pt>
                <c:pt idx="66">
                  <c:v>18</c:v>
                </c:pt>
                <c:pt idx="67">
                  <c:v>14</c:v>
                </c:pt>
                <c:pt idx="68">
                  <c:v>56</c:v>
                </c:pt>
                <c:pt idx="69">
                  <c:v>38</c:v>
                </c:pt>
                <c:pt idx="70">
                  <c:v>38.4</c:v>
                </c:pt>
                <c:pt idx="71">
                  <c:v>32.299999999999997</c:v>
                </c:pt>
                <c:pt idx="72">
                  <c:v>32.200000000000003</c:v>
                </c:pt>
                <c:pt idx="73">
                  <c:v>28.8</c:v>
                </c:pt>
                <c:pt idx="74">
                  <c:v>49</c:v>
                </c:pt>
                <c:pt idx="75">
                  <c:v>36</c:v>
                </c:pt>
                <c:pt idx="76">
                  <c:v>43</c:v>
                </c:pt>
                <c:pt idx="77">
                  <c:v>17</c:v>
                </c:pt>
                <c:pt idx="78">
                  <c:v>26</c:v>
                </c:pt>
                <c:pt idx="79">
                  <c:v>18</c:v>
                </c:pt>
                <c:pt idx="80">
                  <c:v>38</c:v>
                </c:pt>
                <c:pt idx="81">
                  <c:v>38</c:v>
                </c:pt>
                <c:pt idx="82">
                  <c:v>38</c:v>
                </c:pt>
                <c:pt idx="83">
                  <c:v>38</c:v>
                </c:pt>
                <c:pt idx="84">
                  <c:v>50</c:v>
                </c:pt>
                <c:pt idx="85">
                  <c:v>38</c:v>
                </c:pt>
                <c:pt idx="86">
                  <c:v>50</c:v>
                </c:pt>
                <c:pt idx="87">
                  <c:v>19.600000000000001</c:v>
                </c:pt>
                <c:pt idx="88">
                  <c:v>16</c:v>
                </c:pt>
                <c:pt idx="89">
                  <c:v>25.46</c:v>
                </c:pt>
                <c:pt idx="90">
                  <c:v>24.8</c:v>
                </c:pt>
                <c:pt idx="91">
                  <c:v>49</c:v>
                </c:pt>
                <c:pt idx="92">
                  <c:v>24.7</c:v>
                </c:pt>
                <c:pt idx="93">
                  <c:v>39.700000000000003</c:v>
                </c:pt>
                <c:pt idx="94">
                  <c:v>51</c:v>
                </c:pt>
                <c:pt idx="95">
                  <c:v>41</c:v>
                </c:pt>
                <c:pt idx="96">
                  <c:v>41.4</c:v>
                </c:pt>
                <c:pt idx="97">
                  <c:v>39.700000000000003</c:v>
                </c:pt>
                <c:pt idx="98">
                  <c:v>41.4</c:v>
                </c:pt>
                <c:pt idx="99">
                  <c:v>16</c:v>
                </c:pt>
                <c:pt idx="100">
                  <c:v>25.6</c:v>
                </c:pt>
                <c:pt idx="101">
                  <c:v>14.25</c:v>
                </c:pt>
                <c:pt idx="102">
                  <c:v>41</c:v>
                </c:pt>
                <c:pt idx="103">
                  <c:v>32.299999999999997</c:v>
                </c:pt>
                <c:pt idx="104">
                  <c:v>32.299999999999997</c:v>
                </c:pt>
                <c:pt idx="105">
                  <c:v>41</c:v>
                </c:pt>
                <c:pt idx="106">
                  <c:v>32.25</c:v>
                </c:pt>
                <c:pt idx="107">
                  <c:v>25.6</c:v>
                </c:pt>
                <c:pt idx="108">
                  <c:v>44</c:v>
                </c:pt>
                <c:pt idx="109">
                  <c:v>25.46</c:v>
                </c:pt>
                <c:pt idx="110">
                  <c:v>32.200000000000003</c:v>
                </c:pt>
                <c:pt idx="111">
                  <c:v>24.24</c:v>
                </c:pt>
                <c:pt idx="112">
                  <c:v>38.4</c:v>
                </c:pt>
                <c:pt idx="113">
                  <c:v>25.46</c:v>
                </c:pt>
                <c:pt idx="114">
                  <c:v>44</c:v>
                </c:pt>
                <c:pt idx="115">
                  <c:v>21.04</c:v>
                </c:pt>
                <c:pt idx="116">
                  <c:v>19.2</c:v>
                </c:pt>
                <c:pt idx="117">
                  <c:v>25.6</c:v>
                </c:pt>
                <c:pt idx="118">
                  <c:v>19.2</c:v>
                </c:pt>
                <c:pt idx="119">
                  <c:v>14.6</c:v>
                </c:pt>
                <c:pt idx="120">
                  <c:v>31.1</c:v>
                </c:pt>
                <c:pt idx="121">
                  <c:v>21.8</c:v>
                </c:pt>
                <c:pt idx="122">
                  <c:v>28.8</c:v>
                </c:pt>
                <c:pt idx="123" formatCode="0.00">
                  <c:v>24.8</c:v>
                </c:pt>
                <c:pt idx="124">
                  <c:v>32</c:v>
                </c:pt>
                <c:pt idx="125">
                  <c:v>31.5</c:v>
                </c:pt>
                <c:pt idx="126">
                  <c:v>15.6</c:v>
                </c:pt>
                <c:pt idx="128">
                  <c:v>25.6</c:v>
                </c:pt>
                <c:pt idx="130">
                  <c:v>15</c:v>
                </c:pt>
                <c:pt idx="131">
                  <c:v>32</c:v>
                </c:pt>
                <c:pt idx="132">
                  <c:v>32.200000000000003</c:v>
                </c:pt>
                <c:pt idx="133">
                  <c:v>28</c:v>
                </c:pt>
                <c:pt idx="134">
                  <c:v>28.8</c:v>
                </c:pt>
                <c:pt idx="135">
                  <c:v>28.8</c:v>
                </c:pt>
                <c:pt idx="136">
                  <c:v>32.200000000000003</c:v>
                </c:pt>
                <c:pt idx="137">
                  <c:v>28.8</c:v>
                </c:pt>
                <c:pt idx="138">
                  <c:v>48</c:v>
                </c:pt>
                <c:pt idx="139" formatCode="0.00">
                  <c:v>24.8</c:v>
                </c:pt>
                <c:pt idx="141">
                  <c:v>23.7</c:v>
                </c:pt>
              </c:numCache>
            </c:numRef>
          </c:xVal>
          <c:yVal>
            <c:numRef>
              <c:f>Cruise!$L$104:$L$342</c:f>
              <c:numCache>
                <c:formatCode>General</c:formatCode>
                <c:ptCount val="239"/>
                <c:pt idx="0">
                  <c:v>8.5299999999999994</c:v>
                </c:pt>
                <c:pt idx="1">
                  <c:v>9.3000000000000007</c:v>
                </c:pt>
                <c:pt idx="2">
                  <c:v>8.6</c:v>
                </c:pt>
                <c:pt idx="3">
                  <c:v>7.3</c:v>
                </c:pt>
                <c:pt idx="4">
                  <c:v>9.3000000000000007</c:v>
                </c:pt>
                <c:pt idx="5">
                  <c:v>9.3000000000000007</c:v>
                </c:pt>
                <c:pt idx="6">
                  <c:v>8.8000000000000007</c:v>
                </c:pt>
                <c:pt idx="7">
                  <c:v>5.8</c:v>
                </c:pt>
                <c:pt idx="8">
                  <c:v>8</c:v>
                </c:pt>
                <c:pt idx="9">
                  <c:v>8.1999999999999993</c:v>
                </c:pt>
                <c:pt idx="10">
                  <c:v>8.1999999999999993</c:v>
                </c:pt>
                <c:pt idx="11">
                  <c:v>8.1999999999999993</c:v>
                </c:pt>
                <c:pt idx="13">
                  <c:v>8.1999999999999993</c:v>
                </c:pt>
                <c:pt idx="14">
                  <c:v>7.9</c:v>
                </c:pt>
                <c:pt idx="15">
                  <c:v>8.3000000000000007</c:v>
                </c:pt>
                <c:pt idx="16">
                  <c:v>7.8</c:v>
                </c:pt>
                <c:pt idx="17">
                  <c:v>8.3000000000000007</c:v>
                </c:pt>
                <c:pt idx="18">
                  <c:v>8.4</c:v>
                </c:pt>
                <c:pt idx="19">
                  <c:v>8.1999999999999993</c:v>
                </c:pt>
                <c:pt idx="20">
                  <c:v>7.5</c:v>
                </c:pt>
                <c:pt idx="21">
                  <c:v>7.7</c:v>
                </c:pt>
                <c:pt idx="22">
                  <c:v>8.6</c:v>
                </c:pt>
                <c:pt idx="23">
                  <c:v>8.1999999999999993</c:v>
                </c:pt>
                <c:pt idx="24">
                  <c:v>8.6</c:v>
                </c:pt>
                <c:pt idx="26">
                  <c:v>8.6</c:v>
                </c:pt>
                <c:pt idx="27">
                  <c:v>3.52</c:v>
                </c:pt>
                <c:pt idx="28">
                  <c:v>6.6</c:v>
                </c:pt>
                <c:pt idx="29">
                  <c:v>4.6500000000000004</c:v>
                </c:pt>
                <c:pt idx="30">
                  <c:v>4.5</c:v>
                </c:pt>
                <c:pt idx="31">
                  <c:v>4.5</c:v>
                </c:pt>
                <c:pt idx="32">
                  <c:v>5.3</c:v>
                </c:pt>
                <c:pt idx="33">
                  <c:v>6.8</c:v>
                </c:pt>
                <c:pt idx="34">
                  <c:v>7.9</c:v>
                </c:pt>
                <c:pt idx="35">
                  <c:v>4.2</c:v>
                </c:pt>
                <c:pt idx="36">
                  <c:v>7.5</c:v>
                </c:pt>
                <c:pt idx="37">
                  <c:v>7.5</c:v>
                </c:pt>
                <c:pt idx="38">
                  <c:v>8</c:v>
                </c:pt>
                <c:pt idx="39">
                  <c:v>8.1</c:v>
                </c:pt>
                <c:pt idx="40">
                  <c:v>8.0500000000000007</c:v>
                </c:pt>
                <c:pt idx="41">
                  <c:v>7.9</c:v>
                </c:pt>
                <c:pt idx="42">
                  <c:v>8.6999999999999993</c:v>
                </c:pt>
                <c:pt idx="43">
                  <c:v>8.6</c:v>
                </c:pt>
                <c:pt idx="44">
                  <c:v>3.65</c:v>
                </c:pt>
                <c:pt idx="45">
                  <c:v>8</c:v>
                </c:pt>
                <c:pt idx="46">
                  <c:v>7.6</c:v>
                </c:pt>
                <c:pt idx="47">
                  <c:v>7</c:v>
                </c:pt>
                <c:pt idx="48">
                  <c:v>8.3000000000000007</c:v>
                </c:pt>
                <c:pt idx="49">
                  <c:v>8.8000000000000007</c:v>
                </c:pt>
                <c:pt idx="50">
                  <c:v>6.5</c:v>
                </c:pt>
                <c:pt idx="51">
                  <c:v>7</c:v>
                </c:pt>
                <c:pt idx="52">
                  <c:v>8.5</c:v>
                </c:pt>
                <c:pt idx="53">
                  <c:v>3.65</c:v>
                </c:pt>
                <c:pt idx="54">
                  <c:v>6.3</c:v>
                </c:pt>
                <c:pt idx="55">
                  <c:v>8.3000000000000007</c:v>
                </c:pt>
                <c:pt idx="56">
                  <c:v>9.3000000000000007</c:v>
                </c:pt>
                <c:pt idx="57">
                  <c:v>8.2899999999999991</c:v>
                </c:pt>
                <c:pt idx="58">
                  <c:v>4.5</c:v>
                </c:pt>
                <c:pt idx="59">
                  <c:v>8.8000000000000007</c:v>
                </c:pt>
                <c:pt idx="60">
                  <c:v>8.6999999999999993</c:v>
                </c:pt>
                <c:pt idx="62">
                  <c:v>6.25</c:v>
                </c:pt>
                <c:pt idx="63">
                  <c:v>4.2</c:v>
                </c:pt>
                <c:pt idx="64">
                  <c:v>8.5</c:v>
                </c:pt>
                <c:pt idx="65">
                  <c:v>7.95</c:v>
                </c:pt>
                <c:pt idx="66">
                  <c:v>4.7</c:v>
                </c:pt>
                <c:pt idx="67">
                  <c:v>3.22</c:v>
                </c:pt>
                <c:pt idx="68">
                  <c:v>8.5299999999999994</c:v>
                </c:pt>
                <c:pt idx="69">
                  <c:v>8.6999999999999993</c:v>
                </c:pt>
                <c:pt idx="70">
                  <c:v>8.4</c:v>
                </c:pt>
                <c:pt idx="71">
                  <c:v>7.6</c:v>
                </c:pt>
                <c:pt idx="72">
                  <c:v>7.32</c:v>
                </c:pt>
                <c:pt idx="73">
                  <c:v>6.4</c:v>
                </c:pt>
                <c:pt idx="74">
                  <c:v>9</c:v>
                </c:pt>
                <c:pt idx="75">
                  <c:v>8</c:v>
                </c:pt>
                <c:pt idx="76">
                  <c:v>8.75</c:v>
                </c:pt>
                <c:pt idx="77">
                  <c:v>4.8</c:v>
                </c:pt>
                <c:pt idx="78">
                  <c:v>6.5</c:v>
                </c:pt>
                <c:pt idx="79">
                  <c:v>4.91</c:v>
                </c:pt>
                <c:pt idx="80">
                  <c:v>8.2899999999999991</c:v>
                </c:pt>
                <c:pt idx="81">
                  <c:v>8.6</c:v>
                </c:pt>
                <c:pt idx="82">
                  <c:v>8.65</c:v>
                </c:pt>
                <c:pt idx="83">
                  <c:v>8.2899999999999991</c:v>
                </c:pt>
                <c:pt idx="84">
                  <c:v>8.6</c:v>
                </c:pt>
                <c:pt idx="85">
                  <c:v>8.2899999999999991</c:v>
                </c:pt>
                <c:pt idx="86">
                  <c:v>8.2899999999999991</c:v>
                </c:pt>
                <c:pt idx="87">
                  <c:v>5.2</c:v>
                </c:pt>
                <c:pt idx="88">
                  <c:v>4.7</c:v>
                </c:pt>
                <c:pt idx="89">
                  <c:v>5.95</c:v>
                </c:pt>
                <c:pt idx="90">
                  <c:v>7.3</c:v>
                </c:pt>
                <c:pt idx="91">
                  <c:v>8.6</c:v>
                </c:pt>
                <c:pt idx="92">
                  <c:v>5.82</c:v>
                </c:pt>
                <c:pt idx="93">
                  <c:v>8.3000000000000007</c:v>
                </c:pt>
                <c:pt idx="94">
                  <c:v>8.3000000000000007</c:v>
                </c:pt>
                <c:pt idx="95">
                  <c:v>8.6999999999999993</c:v>
                </c:pt>
                <c:pt idx="96">
                  <c:v>8.6</c:v>
                </c:pt>
                <c:pt idx="97">
                  <c:v>8.4</c:v>
                </c:pt>
                <c:pt idx="98">
                  <c:v>8.7200000000000006</c:v>
                </c:pt>
                <c:pt idx="99">
                  <c:v>4.8</c:v>
                </c:pt>
                <c:pt idx="100">
                  <c:v>6.4</c:v>
                </c:pt>
                <c:pt idx="101">
                  <c:v>3.82</c:v>
                </c:pt>
                <c:pt idx="102">
                  <c:v>8.5</c:v>
                </c:pt>
                <c:pt idx="105">
                  <c:v>9.9499999999999993</c:v>
                </c:pt>
                <c:pt idx="107">
                  <c:v>6.5</c:v>
                </c:pt>
                <c:pt idx="108">
                  <c:v>8.5</c:v>
                </c:pt>
                <c:pt idx="109">
                  <c:v>5.95</c:v>
                </c:pt>
                <c:pt idx="110">
                  <c:v>7.32</c:v>
                </c:pt>
                <c:pt idx="111">
                  <c:v>5.4</c:v>
                </c:pt>
                <c:pt idx="112">
                  <c:v>8.5299999999999994</c:v>
                </c:pt>
                <c:pt idx="113">
                  <c:v>6</c:v>
                </c:pt>
                <c:pt idx="114">
                  <c:v>8.5</c:v>
                </c:pt>
                <c:pt idx="115">
                  <c:v>5.0199999999999996</c:v>
                </c:pt>
                <c:pt idx="116">
                  <c:v>5</c:v>
                </c:pt>
                <c:pt idx="117">
                  <c:v>6.4</c:v>
                </c:pt>
                <c:pt idx="118">
                  <c:v>5.15</c:v>
                </c:pt>
                <c:pt idx="119">
                  <c:v>4.17</c:v>
                </c:pt>
                <c:pt idx="120">
                  <c:v>7.1</c:v>
                </c:pt>
                <c:pt idx="121">
                  <c:v>6.8</c:v>
                </c:pt>
                <c:pt idx="122">
                  <c:v>7.1</c:v>
                </c:pt>
                <c:pt idx="123" formatCode="0.00">
                  <c:v>6</c:v>
                </c:pt>
                <c:pt idx="124">
                  <c:v>6.8</c:v>
                </c:pt>
                <c:pt idx="125">
                  <c:v>7.1</c:v>
                </c:pt>
                <c:pt idx="126">
                  <c:v>4.38</c:v>
                </c:pt>
                <c:pt idx="128">
                  <c:v>6.4</c:v>
                </c:pt>
                <c:pt idx="130">
                  <c:v>4</c:v>
                </c:pt>
                <c:pt idx="131">
                  <c:v>7.3</c:v>
                </c:pt>
                <c:pt idx="132">
                  <c:v>7.9</c:v>
                </c:pt>
                <c:pt idx="133">
                  <c:v>6.8</c:v>
                </c:pt>
                <c:pt idx="134">
                  <c:v>6.3</c:v>
                </c:pt>
                <c:pt idx="135">
                  <c:v>6.3</c:v>
                </c:pt>
                <c:pt idx="136">
                  <c:v>7.6</c:v>
                </c:pt>
                <c:pt idx="137">
                  <c:v>7</c:v>
                </c:pt>
                <c:pt idx="138">
                  <c:v>8</c:v>
                </c:pt>
                <c:pt idx="139" formatCode="0.00">
                  <c:v>6</c:v>
                </c:pt>
                <c:pt idx="141">
                  <c:v>5.64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05-48E7-8FCE-B3E3D22E2A92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76200">
                <a:solidFill>
                  <a:srgbClr val="FF0000"/>
                </a:solidFill>
              </a:ln>
              <a:effectLst/>
            </c:spPr>
          </c:marker>
          <c:xVal>
            <c:numRef>
              <c:f>Cruise!$B$3</c:f>
              <c:numCache>
                <c:formatCode>General</c:formatCode>
                <c:ptCount val="1"/>
                <c:pt idx="0">
                  <c:v>37</c:v>
                </c:pt>
              </c:numCache>
            </c:numRef>
          </c:xVal>
          <c:yVal>
            <c:numRef>
              <c:f>Cruise!$B$4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818-4AB2-A103-0CA696A86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428704"/>
        <c:axId val="535951064"/>
      </c:scatterChart>
      <c:valAx>
        <c:axId val="609428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951064"/>
        <c:crosses val="autoZero"/>
        <c:crossBetween val="midCat"/>
      </c:valAx>
      <c:valAx>
        <c:axId val="535951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428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T(DWT)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poly"/>
            <c:order val="3"/>
            <c:dispRSqr val="0"/>
            <c:dispEq val="0"/>
          </c:trendline>
          <c:xVal>
            <c:numRef>
              <c:f>ROPAX!$C$144:$C$217</c:f>
              <c:numCache>
                <c:formatCode>General</c:formatCode>
                <c:ptCount val="74"/>
                <c:pt idx="0">
                  <c:v>2883</c:v>
                </c:pt>
                <c:pt idx="1">
                  <c:v>3009</c:v>
                </c:pt>
                <c:pt idx="2">
                  <c:v>2652</c:v>
                </c:pt>
                <c:pt idx="3">
                  <c:v>3600</c:v>
                </c:pt>
                <c:pt idx="4">
                  <c:v>1858</c:v>
                </c:pt>
                <c:pt idx="6">
                  <c:v>670</c:v>
                </c:pt>
                <c:pt idx="7">
                  <c:v>9665</c:v>
                </c:pt>
                <c:pt idx="8">
                  <c:v>3400</c:v>
                </c:pt>
                <c:pt idx="9">
                  <c:v>1250</c:v>
                </c:pt>
                <c:pt idx="10">
                  <c:v>5230</c:v>
                </c:pt>
                <c:pt idx="11">
                  <c:v>7100</c:v>
                </c:pt>
                <c:pt idx="12">
                  <c:v>3500</c:v>
                </c:pt>
                <c:pt idx="13">
                  <c:v>4563</c:v>
                </c:pt>
                <c:pt idx="14">
                  <c:v>6300</c:v>
                </c:pt>
                <c:pt idx="15">
                  <c:v>9268</c:v>
                </c:pt>
                <c:pt idx="16">
                  <c:v>6800</c:v>
                </c:pt>
                <c:pt idx="17">
                  <c:v>7200</c:v>
                </c:pt>
                <c:pt idx="18">
                  <c:v>13200</c:v>
                </c:pt>
                <c:pt idx="19">
                  <c:v>10600</c:v>
                </c:pt>
                <c:pt idx="20">
                  <c:v>5800</c:v>
                </c:pt>
                <c:pt idx="21">
                  <c:v>6170</c:v>
                </c:pt>
                <c:pt idx="22">
                  <c:v>9600</c:v>
                </c:pt>
                <c:pt idx="23">
                  <c:v>8050</c:v>
                </c:pt>
                <c:pt idx="24">
                  <c:v>7730</c:v>
                </c:pt>
                <c:pt idx="25">
                  <c:v>6800</c:v>
                </c:pt>
                <c:pt idx="26">
                  <c:v>7200</c:v>
                </c:pt>
                <c:pt idx="27">
                  <c:v>5238</c:v>
                </c:pt>
                <c:pt idx="28">
                  <c:v>7300</c:v>
                </c:pt>
                <c:pt idx="29">
                  <c:v>4504</c:v>
                </c:pt>
                <c:pt idx="30">
                  <c:v>2100</c:v>
                </c:pt>
                <c:pt idx="31">
                  <c:v>6920</c:v>
                </c:pt>
                <c:pt idx="32">
                  <c:v>950</c:v>
                </c:pt>
                <c:pt idx="33">
                  <c:v>6965</c:v>
                </c:pt>
                <c:pt idx="34">
                  <c:v>5024</c:v>
                </c:pt>
                <c:pt idx="35">
                  <c:v>11558</c:v>
                </c:pt>
                <c:pt idx="36">
                  <c:v>10466</c:v>
                </c:pt>
                <c:pt idx="37">
                  <c:v>7324</c:v>
                </c:pt>
                <c:pt idx="38">
                  <c:v>10996</c:v>
                </c:pt>
                <c:pt idx="39">
                  <c:v>1200</c:v>
                </c:pt>
                <c:pt idx="40">
                  <c:v>4275</c:v>
                </c:pt>
                <c:pt idx="41">
                  <c:v>2900</c:v>
                </c:pt>
                <c:pt idx="42">
                  <c:v>6705</c:v>
                </c:pt>
                <c:pt idx="43">
                  <c:v>5700</c:v>
                </c:pt>
                <c:pt idx="44">
                  <c:v>8383</c:v>
                </c:pt>
                <c:pt idx="45">
                  <c:v>5794</c:v>
                </c:pt>
                <c:pt idx="46">
                  <c:v>11682</c:v>
                </c:pt>
                <c:pt idx="47">
                  <c:v>4700</c:v>
                </c:pt>
                <c:pt idx="48">
                  <c:v>4850</c:v>
                </c:pt>
                <c:pt idx="49">
                  <c:v>8900</c:v>
                </c:pt>
                <c:pt idx="50">
                  <c:v>9500</c:v>
                </c:pt>
                <c:pt idx="51">
                  <c:v>7800</c:v>
                </c:pt>
                <c:pt idx="52">
                  <c:v>1000</c:v>
                </c:pt>
                <c:pt idx="53">
                  <c:v>936</c:v>
                </c:pt>
                <c:pt idx="54">
                  <c:v>2402</c:v>
                </c:pt>
                <c:pt idx="57">
                  <c:v>2412</c:v>
                </c:pt>
                <c:pt idx="58">
                  <c:v>7598</c:v>
                </c:pt>
                <c:pt idx="59">
                  <c:v>7900</c:v>
                </c:pt>
                <c:pt idx="60">
                  <c:v>7178</c:v>
                </c:pt>
                <c:pt idx="61">
                  <c:v>9653</c:v>
                </c:pt>
                <c:pt idx="62">
                  <c:v>5700</c:v>
                </c:pt>
                <c:pt idx="63">
                  <c:v>346</c:v>
                </c:pt>
                <c:pt idx="64">
                  <c:v>740</c:v>
                </c:pt>
                <c:pt idx="65">
                  <c:v>254</c:v>
                </c:pt>
                <c:pt idx="66">
                  <c:v>254</c:v>
                </c:pt>
                <c:pt idx="67">
                  <c:v>1738</c:v>
                </c:pt>
                <c:pt idx="68">
                  <c:v>11033</c:v>
                </c:pt>
                <c:pt idx="69">
                  <c:v>3900</c:v>
                </c:pt>
                <c:pt idx="70">
                  <c:v>7662</c:v>
                </c:pt>
                <c:pt idx="71">
                  <c:v>3900</c:v>
                </c:pt>
                <c:pt idx="72">
                  <c:v>6107</c:v>
                </c:pt>
                <c:pt idx="73">
                  <c:v>3000</c:v>
                </c:pt>
              </c:numCache>
            </c:numRef>
          </c:xVal>
          <c:yVal>
            <c:numRef>
              <c:f>ROPAX!$J$144:$J$217</c:f>
              <c:numCache>
                <c:formatCode>General</c:formatCode>
                <c:ptCount val="74"/>
                <c:pt idx="0">
                  <c:v>5.3</c:v>
                </c:pt>
                <c:pt idx="1">
                  <c:v>5.4</c:v>
                </c:pt>
                <c:pt idx="2">
                  <c:v>5.6</c:v>
                </c:pt>
                <c:pt idx="3">
                  <c:v>5.7</c:v>
                </c:pt>
                <c:pt idx="4">
                  <c:v>4.9000000000000004</c:v>
                </c:pt>
                <c:pt idx="5">
                  <c:v>5.75</c:v>
                </c:pt>
                <c:pt idx="6">
                  <c:v>3.2</c:v>
                </c:pt>
                <c:pt idx="7">
                  <c:v>6.4</c:v>
                </c:pt>
                <c:pt idx="8">
                  <c:v>6.62</c:v>
                </c:pt>
                <c:pt idx="9">
                  <c:v>4.5</c:v>
                </c:pt>
                <c:pt idx="10">
                  <c:v>6.3</c:v>
                </c:pt>
                <c:pt idx="11">
                  <c:v>6.08</c:v>
                </c:pt>
                <c:pt idx="12">
                  <c:v>6.3</c:v>
                </c:pt>
                <c:pt idx="13">
                  <c:v>6.35</c:v>
                </c:pt>
                <c:pt idx="14">
                  <c:v>7.1</c:v>
                </c:pt>
                <c:pt idx="15">
                  <c:v>6.05</c:v>
                </c:pt>
                <c:pt idx="16">
                  <c:v>6.6</c:v>
                </c:pt>
                <c:pt idx="17">
                  <c:v>6.2</c:v>
                </c:pt>
                <c:pt idx="18">
                  <c:v>9.5</c:v>
                </c:pt>
                <c:pt idx="19">
                  <c:v>8.4</c:v>
                </c:pt>
                <c:pt idx="20">
                  <c:v>7.2</c:v>
                </c:pt>
                <c:pt idx="21">
                  <c:v>5.8</c:v>
                </c:pt>
                <c:pt idx="22">
                  <c:v>6</c:v>
                </c:pt>
                <c:pt idx="23">
                  <c:v>6.6</c:v>
                </c:pt>
                <c:pt idx="24">
                  <c:v>5.7</c:v>
                </c:pt>
                <c:pt idx="25">
                  <c:v>6</c:v>
                </c:pt>
                <c:pt idx="26">
                  <c:v>6.3</c:v>
                </c:pt>
                <c:pt idx="27">
                  <c:v>6</c:v>
                </c:pt>
                <c:pt idx="28">
                  <c:v>6.5</c:v>
                </c:pt>
                <c:pt idx="29">
                  <c:v>5.8</c:v>
                </c:pt>
                <c:pt idx="30">
                  <c:v>5.8129999999999997</c:v>
                </c:pt>
                <c:pt idx="31">
                  <c:v>6.4</c:v>
                </c:pt>
                <c:pt idx="32">
                  <c:v>4.5999999999999996</c:v>
                </c:pt>
                <c:pt idx="33">
                  <c:v>6.7839999999999998</c:v>
                </c:pt>
                <c:pt idx="34">
                  <c:v>5.1150000000000002</c:v>
                </c:pt>
                <c:pt idx="35">
                  <c:v>7.4160000000000004</c:v>
                </c:pt>
                <c:pt idx="36">
                  <c:v>6.3</c:v>
                </c:pt>
                <c:pt idx="37">
                  <c:v>6</c:v>
                </c:pt>
                <c:pt idx="38">
                  <c:v>8.3010000000000002</c:v>
                </c:pt>
                <c:pt idx="39">
                  <c:v>4.5</c:v>
                </c:pt>
                <c:pt idx="40">
                  <c:v>5.5</c:v>
                </c:pt>
                <c:pt idx="41">
                  <c:v>6</c:v>
                </c:pt>
                <c:pt idx="42">
                  <c:v>6.2</c:v>
                </c:pt>
                <c:pt idx="43">
                  <c:v>6.5</c:v>
                </c:pt>
                <c:pt idx="44">
                  <c:v>6.2140000000000004</c:v>
                </c:pt>
                <c:pt idx="45">
                  <c:v>5.75</c:v>
                </c:pt>
                <c:pt idx="46">
                  <c:v>7.4</c:v>
                </c:pt>
                <c:pt idx="47">
                  <c:v>6.5</c:v>
                </c:pt>
                <c:pt idx="48">
                  <c:v>6.4</c:v>
                </c:pt>
                <c:pt idx="49">
                  <c:v>5.7</c:v>
                </c:pt>
                <c:pt idx="50">
                  <c:v>6.5</c:v>
                </c:pt>
                <c:pt idx="52">
                  <c:v>4.2</c:v>
                </c:pt>
                <c:pt idx="53">
                  <c:v>3.65</c:v>
                </c:pt>
                <c:pt idx="54">
                  <c:v>5.92</c:v>
                </c:pt>
                <c:pt idx="55">
                  <c:v>6.5</c:v>
                </c:pt>
                <c:pt idx="56">
                  <c:v>8.0500000000000007</c:v>
                </c:pt>
                <c:pt idx="57">
                  <c:v>5.6</c:v>
                </c:pt>
                <c:pt idx="58">
                  <c:v>6.2</c:v>
                </c:pt>
                <c:pt idx="59">
                  <c:v>8.0500000000000007</c:v>
                </c:pt>
                <c:pt idx="60">
                  <c:v>6.5</c:v>
                </c:pt>
                <c:pt idx="61">
                  <c:v>7.1</c:v>
                </c:pt>
                <c:pt idx="62">
                  <c:v>6.55</c:v>
                </c:pt>
                <c:pt idx="63">
                  <c:v>4.5</c:v>
                </c:pt>
                <c:pt idx="64">
                  <c:v>5.25</c:v>
                </c:pt>
                <c:pt idx="65">
                  <c:v>3.1</c:v>
                </c:pt>
                <c:pt idx="66">
                  <c:v>3.1</c:v>
                </c:pt>
                <c:pt idx="67">
                  <c:v>5.9</c:v>
                </c:pt>
                <c:pt idx="68">
                  <c:v>8.8000000000000007</c:v>
                </c:pt>
                <c:pt idx="69">
                  <c:v>6.36</c:v>
                </c:pt>
                <c:pt idx="70">
                  <c:v>7.32</c:v>
                </c:pt>
                <c:pt idx="71">
                  <c:v>6.36</c:v>
                </c:pt>
                <c:pt idx="72">
                  <c:v>6.8</c:v>
                </c:pt>
                <c:pt idx="73">
                  <c:v>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AD-4DB8-8583-98098D6A1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183104"/>
        <c:axId val="221183496"/>
      </c:scatterChart>
      <c:valAx>
        <c:axId val="221183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183496"/>
        <c:crosses val="autoZero"/>
        <c:crossBetween val="midCat"/>
      </c:valAx>
      <c:valAx>
        <c:axId val="221183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183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xVal>
            <c:numRef>
              <c:f>ROPAX!$H$144:$H$217</c:f>
              <c:numCache>
                <c:formatCode>General</c:formatCode>
                <c:ptCount val="74"/>
                <c:pt idx="0">
                  <c:v>114.95</c:v>
                </c:pt>
                <c:pt idx="1">
                  <c:v>127.5</c:v>
                </c:pt>
                <c:pt idx="2">
                  <c:v>123</c:v>
                </c:pt>
                <c:pt idx="3">
                  <c:v>125</c:v>
                </c:pt>
                <c:pt idx="4">
                  <c:v>111.8</c:v>
                </c:pt>
                <c:pt idx="5">
                  <c:v>154</c:v>
                </c:pt>
                <c:pt idx="6">
                  <c:v>91.2</c:v>
                </c:pt>
                <c:pt idx="7">
                  <c:v>192.4</c:v>
                </c:pt>
                <c:pt idx="8">
                  <c:v>161.6</c:v>
                </c:pt>
                <c:pt idx="9">
                  <c:v>98.2</c:v>
                </c:pt>
                <c:pt idx="10">
                  <c:v>152.43</c:v>
                </c:pt>
                <c:pt idx="11">
                  <c:v>179.2</c:v>
                </c:pt>
                <c:pt idx="12">
                  <c:v>159.69999999999999</c:v>
                </c:pt>
                <c:pt idx="13">
                  <c:v>160.47999999999999</c:v>
                </c:pt>
                <c:pt idx="14">
                  <c:v>191.22</c:v>
                </c:pt>
                <c:pt idx="15">
                  <c:v>203.7</c:v>
                </c:pt>
                <c:pt idx="16">
                  <c:v>198</c:v>
                </c:pt>
                <c:pt idx="17">
                  <c:v>175</c:v>
                </c:pt>
                <c:pt idx="18">
                  <c:v>190.5</c:v>
                </c:pt>
                <c:pt idx="19">
                  <c:v>167</c:v>
                </c:pt>
                <c:pt idx="20">
                  <c:v>134</c:v>
                </c:pt>
                <c:pt idx="21">
                  <c:v>157.65</c:v>
                </c:pt>
                <c:pt idx="22">
                  <c:v>166.2</c:v>
                </c:pt>
                <c:pt idx="23">
                  <c:v>148.77000000000001</c:v>
                </c:pt>
                <c:pt idx="24">
                  <c:v>182.39</c:v>
                </c:pt>
                <c:pt idx="25">
                  <c:v>170</c:v>
                </c:pt>
                <c:pt idx="26">
                  <c:v>140</c:v>
                </c:pt>
                <c:pt idx="27">
                  <c:v>118.5</c:v>
                </c:pt>
                <c:pt idx="28">
                  <c:v>168.7</c:v>
                </c:pt>
                <c:pt idx="29">
                  <c:v>117.6</c:v>
                </c:pt>
                <c:pt idx="30">
                  <c:v>123</c:v>
                </c:pt>
                <c:pt idx="31">
                  <c:v>185.6</c:v>
                </c:pt>
                <c:pt idx="32">
                  <c:v>96</c:v>
                </c:pt>
                <c:pt idx="33">
                  <c:v>171</c:v>
                </c:pt>
                <c:pt idx="34">
                  <c:v>141</c:v>
                </c:pt>
                <c:pt idx="35">
                  <c:v>171.3</c:v>
                </c:pt>
                <c:pt idx="36">
                  <c:v>194.8</c:v>
                </c:pt>
                <c:pt idx="37">
                  <c:v>137.30000000000001</c:v>
                </c:pt>
                <c:pt idx="38">
                  <c:v>146</c:v>
                </c:pt>
                <c:pt idx="39">
                  <c:v>104.4</c:v>
                </c:pt>
                <c:pt idx="40">
                  <c:v>148</c:v>
                </c:pt>
                <c:pt idx="41">
                  <c:v>130</c:v>
                </c:pt>
                <c:pt idx="42">
                  <c:v>175</c:v>
                </c:pt>
                <c:pt idx="43">
                  <c:v>170.1</c:v>
                </c:pt>
                <c:pt idx="44">
                  <c:v>170</c:v>
                </c:pt>
                <c:pt idx="45">
                  <c:v>173.5</c:v>
                </c:pt>
                <c:pt idx="46">
                  <c:v>171.3</c:v>
                </c:pt>
                <c:pt idx="47">
                  <c:v>170</c:v>
                </c:pt>
                <c:pt idx="48">
                  <c:v>194.4</c:v>
                </c:pt>
                <c:pt idx="49">
                  <c:v>165</c:v>
                </c:pt>
                <c:pt idx="50">
                  <c:v>197.9</c:v>
                </c:pt>
                <c:pt idx="51">
                  <c:v>185</c:v>
                </c:pt>
                <c:pt idx="52">
                  <c:v>114.8</c:v>
                </c:pt>
                <c:pt idx="53">
                  <c:v>92.4</c:v>
                </c:pt>
                <c:pt idx="54">
                  <c:v>133.99</c:v>
                </c:pt>
                <c:pt idx="55">
                  <c:v>195.6766387195122</c:v>
                </c:pt>
                <c:pt idx="56">
                  <c:v>275.42130335365852</c:v>
                </c:pt>
                <c:pt idx="57">
                  <c:v>122.41063262195121</c:v>
                </c:pt>
                <c:pt idx="58">
                  <c:v>164</c:v>
                </c:pt>
                <c:pt idx="59">
                  <c:v>273.70636432926824</c:v>
                </c:pt>
                <c:pt idx="60">
                  <c:v>171.57221798780486</c:v>
                </c:pt>
                <c:pt idx="62">
                  <c:v>171.57221798780486</c:v>
                </c:pt>
                <c:pt idx="63">
                  <c:v>50.4</c:v>
                </c:pt>
                <c:pt idx="64">
                  <c:v>78.45</c:v>
                </c:pt>
                <c:pt idx="65">
                  <c:v>44.9</c:v>
                </c:pt>
                <c:pt idx="66">
                  <c:v>42.97</c:v>
                </c:pt>
                <c:pt idx="67">
                  <c:v>106.24</c:v>
                </c:pt>
                <c:pt idx="68">
                  <c:v>290.76048018292681</c:v>
                </c:pt>
                <c:pt idx="69">
                  <c:v>148</c:v>
                </c:pt>
                <c:pt idx="70">
                  <c:v>233.50057164634146</c:v>
                </c:pt>
                <c:pt idx="71">
                  <c:v>148</c:v>
                </c:pt>
                <c:pt idx="72">
                  <c:v>202.26009908536585</c:v>
                </c:pt>
                <c:pt idx="73">
                  <c:v>173.6</c:v>
                </c:pt>
              </c:numCache>
            </c:numRef>
          </c:xVal>
          <c:yVal>
            <c:numRef>
              <c:f>ROPAX!$K$144:$K$217</c:f>
              <c:numCache>
                <c:formatCode>General</c:formatCode>
                <c:ptCount val="74"/>
                <c:pt idx="0">
                  <c:v>8.6</c:v>
                </c:pt>
                <c:pt idx="1">
                  <c:v>8.6</c:v>
                </c:pt>
                <c:pt idx="2">
                  <c:v>8.1</c:v>
                </c:pt>
                <c:pt idx="3">
                  <c:v>8.35</c:v>
                </c:pt>
                <c:pt idx="4">
                  <c:v>7.25</c:v>
                </c:pt>
                <c:pt idx="5">
                  <c:v>8.09</c:v>
                </c:pt>
                <c:pt idx="6">
                  <c:v>5.5</c:v>
                </c:pt>
                <c:pt idx="7">
                  <c:v>9.9</c:v>
                </c:pt>
                <c:pt idx="8">
                  <c:v>9.4</c:v>
                </c:pt>
                <c:pt idx="9">
                  <c:v>7</c:v>
                </c:pt>
                <c:pt idx="10">
                  <c:v>9.1</c:v>
                </c:pt>
                <c:pt idx="11">
                  <c:v>8.1999999999999993</c:v>
                </c:pt>
                <c:pt idx="12">
                  <c:v>9.3000000000000007</c:v>
                </c:pt>
                <c:pt idx="13">
                  <c:v>9.4</c:v>
                </c:pt>
                <c:pt idx="14">
                  <c:v>10</c:v>
                </c:pt>
                <c:pt idx="15">
                  <c:v>9.4</c:v>
                </c:pt>
                <c:pt idx="16">
                  <c:v>9.9</c:v>
                </c:pt>
                <c:pt idx="17">
                  <c:v>9.1999999999999993</c:v>
                </c:pt>
                <c:pt idx="18">
                  <c:v>14.3</c:v>
                </c:pt>
                <c:pt idx="19">
                  <c:v>12.6</c:v>
                </c:pt>
                <c:pt idx="20">
                  <c:v>11.8</c:v>
                </c:pt>
                <c:pt idx="21">
                  <c:v>8.6</c:v>
                </c:pt>
                <c:pt idx="22">
                  <c:v>8.5</c:v>
                </c:pt>
                <c:pt idx="23">
                  <c:v>8</c:v>
                </c:pt>
                <c:pt idx="24">
                  <c:v>8.6</c:v>
                </c:pt>
                <c:pt idx="25">
                  <c:v>9</c:v>
                </c:pt>
                <c:pt idx="26">
                  <c:v>8.1</c:v>
                </c:pt>
                <c:pt idx="27">
                  <c:v>7.5</c:v>
                </c:pt>
                <c:pt idx="28">
                  <c:v>8.6999999999999993</c:v>
                </c:pt>
                <c:pt idx="29">
                  <c:v>14.7</c:v>
                </c:pt>
                <c:pt idx="30">
                  <c:v>13.7</c:v>
                </c:pt>
                <c:pt idx="31">
                  <c:v>18.5</c:v>
                </c:pt>
                <c:pt idx="32">
                  <c:v>8.85</c:v>
                </c:pt>
                <c:pt idx="33">
                  <c:v>14.25</c:v>
                </c:pt>
                <c:pt idx="34">
                  <c:v>13.01</c:v>
                </c:pt>
                <c:pt idx="35">
                  <c:v>8.91</c:v>
                </c:pt>
                <c:pt idx="36">
                  <c:v>15.5</c:v>
                </c:pt>
                <c:pt idx="38">
                  <c:v>17.600000000000001</c:v>
                </c:pt>
                <c:pt idx="41">
                  <c:v>14.65</c:v>
                </c:pt>
                <c:pt idx="42">
                  <c:v>9.1999999999999993</c:v>
                </c:pt>
                <c:pt idx="43">
                  <c:v>9.5</c:v>
                </c:pt>
                <c:pt idx="44">
                  <c:v>9</c:v>
                </c:pt>
                <c:pt idx="45">
                  <c:v>8.6</c:v>
                </c:pt>
                <c:pt idx="46">
                  <c:v>8.5</c:v>
                </c:pt>
                <c:pt idx="47">
                  <c:v>9.5</c:v>
                </c:pt>
                <c:pt idx="48">
                  <c:v>9.6999999999999993</c:v>
                </c:pt>
                <c:pt idx="52">
                  <c:v>8.1999999999999993</c:v>
                </c:pt>
                <c:pt idx="53">
                  <c:v>9.4</c:v>
                </c:pt>
                <c:pt idx="54">
                  <c:v>16.3</c:v>
                </c:pt>
                <c:pt idx="58">
                  <c:v>9</c:v>
                </c:pt>
                <c:pt idx="69">
                  <c:v>9.3000000000000007</c:v>
                </c:pt>
                <c:pt idx="71">
                  <c:v>9.3000000000000007</c:v>
                </c:pt>
                <c:pt idx="73">
                  <c:v>8.1999999999999993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2F-411B-9F8F-6CA7747C21A7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76200">
                <a:solidFill>
                  <a:srgbClr val="FF0000"/>
                </a:solidFill>
              </a:ln>
              <a:effectLst/>
            </c:spPr>
          </c:marker>
          <c:xVal>
            <c:numRef>
              <c:f>ROPAX!$B$3</c:f>
              <c:numCache>
                <c:formatCode>General</c:formatCode>
                <c:ptCount val="1"/>
                <c:pt idx="0">
                  <c:v>280</c:v>
                </c:pt>
              </c:numCache>
            </c:numRef>
          </c:xVal>
          <c:yVal>
            <c:numRef>
              <c:f>ROPAX!$B$6</c:f>
              <c:numCache>
                <c:formatCode>General</c:formatCode>
                <c:ptCount val="1"/>
                <c:pt idx="0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32F-411B-9F8F-6CA7747C2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93768"/>
        <c:axId val="221894160"/>
      </c:scatterChart>
      <c:valAx>
        <c:axId val="221893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Length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894160"/>
        <c:crosses val="autoZero"/>
        <c:crossBetween val="midCat"/>
      </c:valAx>
      <c:valAx>
        <c:axId val="22189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893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P(Lbp)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xVal>
            <c:numRef>
              <c:f>ROPAX!$H$144:$H$217</c:f>
              <c:numCache>
                <c:formatCode>General</c:formatCode>
                <c:ptCount val="74"/>
                <c:pt idx="0">
                  <c:v>114.95</c:v>
                </c:pt>
                <c:pt idx="1">
                  <c:v>127.5</c:v>
                </c:pt>
                <c:pt idx="2">
                  <c:v>123</c:v>
                </c:pt>
                <c:pt idx="3">
                  <c:v>125</c:v>
                </c:pt>
                <c:pt idx="4">
                  <c:v>111.8</c:v>
                </c:pt>
                <c:pt idx="5">
                  <c:v>154</c:v>
                </c:pt>
                <c:pt idx="6">
                  <c:v>91.2</c:v>
                </c:pt>
                <c:pt idx="7">
                  <c:v>192.4</c:v>
                </c:pt>
                <c:pt idx="8">
                  <c:v>161.6</c:v>
                </c:pt>
                <c:pt idx="9">
                  <c:v>98.2</c:v>
                </c:pt>
                <c:pt idx="10">
                  <c:v>152.43</c:v>
                </c:pt>
                <c:pt idx="11">
                  <c:v>179.2</c:v>
                </c:pt>
                <c:pt idx="12">
                  <c:v>159.69999999999999</c:v>
                </c:pt>
                <c:pt idx="13">
                  <c:v>160.47999999999999</c:v>
                </c:pt>
                <c:pt idx="14">
                  <c:v>191.22</c:v>
                </c:pt>
                <c:pt idx="15">
                  <c:v>203.7</c:v>
                </c:pt>
                <c:pt idx="16">
                  <c:v>198</c:v>
                </c:pt>
                <c:pt idx="17">
                  <c:v>175</c:v>
                </c:pt>
                <c:pt idx="18">
                  <c:v>190.5</c:v>
                </c:pt>
                <c:pt idx="19">
                  <c:v>167</c:v>
                </c:pt>
                <c:pt idx="20">
                  <c:v>134</c:v>
                </c:pt>
                <c:pt idx="21">
                  <c:v>157.65</c:v>
                </c:pt>
                <c:pt idx="22">
                  <c:v>166.2</c:v>
                </c:pt>
                <c:pt idx="23">
                  <c:v>148.77000000000001</c:v>
                </c:pt>
                <c:pt idx="24">
                  <c:v>182.39</c:v>
                </c:pt>
                <c:pt idx="25">
                  <c:v>170</c:v>
                </c:pt>
                <c:pt idx="26">
                  <c:v>140</c:v>
                </c:pt>
                <c:pt idx="27">
                  <c:v>118.5</c:v>
                </c:pt>
                <c:pt idx="28">
                  <c:v>168.7</c:v>
                </c:pt>
                <c:pt idx="29">
                  <c:v>117.6</c:v>
                </c:pt>
                <c:pt idx="30">
                  <c:v>123</c:v>
                </c:pt>
                <c:pt idx="31">
                  <c:v>185.6</c:v>
                </c:pt>
                <c:pt idx="32">
                  <c:v>96</c:v>
                </c:pt>
                <c:pt idx="33">
                  <c:v>171</c:v>
                </c:pt>
                <c:pt idx="34">
                  <c:v>141</c:v>
                </c:pt>
                <c:pt idx="35">
                  <c:v>171.3</c:v>
                </c:pt>
                <c:pt idx="36">
                  <c:v>194.8</c:v>
                </c:pt>
                <c:pt idx="37">
                  <c:v>137.30000000000001</c:v>
                </c:pt>
                <c:pt idx="38">
                  <c:v>146</c:v>
                </c:pt>
                <c:pt idx="39">
                  <c:v>104.4</c:v>
                </c:pt>
                <c:pt idx="40">
                  <c:v>148</c:v>
                </c:pt>
                <c:pt idx="41">
                  <c:v>130</c:v>
                </c:pt>
                <c:pt idx="42">
                  <c:v>175</c:v>
                </c:pt>
                <c:pt idx="43">
                  <c:v>170.1</c:v>
                </c:pt>
                <c:pt idx="44">
                  <c:v>170</c:v>
                </c:pt>
                <c:pt idx="45">
                  <c:v>173.5</c:v>
                </c:pt>
                <c:pt idx="46">
                  <c:v>171.3</c:v>
                </c:pt>
                <c:pt idx="47">
                  <c:v>170</c:v>
                </c:pt>
                <c:pt idx="48">
                  <c:v>194.4</c:v>
                </c:pt>
                <c:pt idx="49">
                  <c:v>165</c:v>
                </c:pt>
                <c:pt idx="50">
                  <c:v>197.9</c:v>
                </c:pt>
                <c:pt idx="51">
                  <c:v>185</c:v>
                </c:pt>
                <c:pt idx="52">
                  <c:v>114.8</c:v>
                </c:pt>
                <c:pt idx="53">
                  <c:v>92.4</c:v>
                </c:pt>
                <c:pt idx="54">
                  <c:v>133.99</c:v>
                </c:pt>
                <c:pt idx="55">
                  <c:v>195.6766387195122</c:v>
                </c:pt>
                <c:pt idx="56">
                  <c:v>275.42130335365852</c:v>
                </c:pt>
                <c:pt idx="57">
                  <c:v>122.41063262195121</c:v>
                </c:pt>
                <c:pt idx="58">
                  <c:v>164</c:v>
                </c:pt>
                <c:pt idx="59">
                  <c:v>273.70636432926824</c:v>
                </c:pt>
                <c:pt idx="60">
                  <c:v>171.57221798780486</c:v>
                </c:pt>
                <c:pt idx="62">
                  <c:v>171.57221798780486</c:v>
                </c:pt>
                <c:pt idx="63">
                  <c:v>50.4</c:v>
                </c:pt>
                <c:pt idx="64">
                  <c:v>78.45</c:v>
                </c:pt>
                <c:pt idx="65">
                  <c:v>44.9</c:v>
                </c:pt>
                <c:pt idx="66">
                  <c:v>42.97</c:v>
                </c:pt>
                <c:pt idx="67">
                  <c:v>106.24</c:v>
                </c:pt>
                <c:pt idx="68">
                  <c:v>290.76048018292681</c:v>
                </c:pt>
                <c:pt idx="69">
                  <c:v>148</c:v>
                </c:pt>
                <c:pt idx="70">
                  <c:v>233.50057164634146</c:v>
                </c:pt>
                <c:pt idx="71">
                  <c:v>148</c:v>
                </c:pt>
                <c:pt idx="72">
                  <c:v>202.26009908536585</c:v>
                </c:pt>
                <c:pt idx="73">
                  <c:v>173.6</c:v>
                </c:pt>
              </c:numCache>
            </c:numRef>
          </c:xVal>
          <c:yVal>
            <c:numRef>
              <c:f>ROPAX!$V$144:$V$217</c:f>
              <c:numCache>
                <c:formatCode>General</c:formatCode>
                <c:ptCount val="74"/>
                <c:pt idx="0">
                  <c:v>8640</c:v>
                </c:pt>
                <c:pt idx="1">
                  <c:v>11600</c:v>
                </c:pt>
                <c:pt idx="2">
                  <c:v>13440</c:v>
                </c:pt>
                <c:pt idx="3">
                  <c:v>18900</c:v>
                </c:pt>
                <c:pt idx="4">
                  <c:v>16560</c:v>
                </c:pt>
                <c:pt idx="5">
                  <c:v>16000</c:v>
                </c:pt>
                <c:pt idx="6">
                  <c:v>7680</c:v>
                </c:pt>
                <c:pt idx="7">
                  <c:v>31200</c:v>
                </c:pt>
                <c:pt idx="8">
                  <c:v>37800</c:v>
                </c:pt>
                <c:pt idx="9">
                  <c:v>16000</c:v>
                </c:pt>
                <c:pt idx="10">
                  <c:v>21600</c:v>
                </c:pt>
                <c:pt idx="11">
                  <c:v>18900</c:v>
                </c:pt>
                <c:pt idx="12">
                  <c:v>46800</c:v>
                </c:pt>
                <c:pt idx="13">
                  <c:v>44480</c:v>
                </c:pt>
                <c:pt idx="14">
                  <c:v>67200</c:v>
                </c:pt>
                <c:pt idx="15">
                  <c:v>37800</c:v>
                </c:pt>
                <c:pt idx="16">
                  <c:v>50400</c:v>
                </c:pt>
                <c:pt idx="17">
                  <c:v>29880</c:v>
                </c:pt>
                <c:pt idx="18">
                  <c:v>15820</c:v>
                </c:pt>
                <c:pt idx="19">
                  <c:v>15785</c:v>
                </c:pt>
                <c:pt idx="20">
                  <c:v>9170</c:v>
                </c:pt>
                <c:pt idx="21">
                  <c:v>24480</c:v>
                </c:pt>
                <c:pt idx="22">
                  <c:v>18918</c:v>
                </c:pt>
                <c:pt idx="23">
                  <c:v>12600</c:v>
                </c:pt>
                <c:pt idx="24">
                  <c:v>16200</c:v>
                </c:pt>
                <c:pt idx="25">
                  <c:v>23040</c:v>
                </c:pt>
                <c:pt idx="26">
                  <c:v>15360</c:v>
                </c:pt>
                <c:pt idx="27">
                  <c:v>8600</c:v>
                </c:pt>
                <c:pt idx="28">
                  <c:v>23760</c:v>
                </c:pt>
                <c:pt idx="29">
                  <c:v>8640</c:v>
                </c:pt>
                <c:pt idx="30">
                  <c:v>13440</c:v>
                </c:pt>
                <c:pt idx="31">
                  <c:v>46080</c:v>
                </c:pt>
                <c:pt idx="33">
                  <c:v>21844</c:v>
                </c:pt>
                <c:pt idx="34">
                  <c:v>12000</c:v>
                </c:pt>
                <c:pt idx="35">
                  <c:v>23040</c:v>
                </c:pt>
                <c:pt idx="36">
                  <c:v>21600</c:v>
                </c:pt>
                <c:pt idx="37">
                  <c:v>11520</c:v>
                </c:pt>
                <c:pt idx="38">
                  <c:v>14400</c:v>
                </c:pt>
                <c:pt idx="39">
                  <c:v>8640</c:v>
                </c:pt>
                <c:pt idx="41">
                  <c:v>33200</c:v>
                </c:pt>
                <c:pt idx="42">
                  <c:v>22000</c:v>
                </c:pt>
                <c:pt idx="43">
                  <c:v>23400</c:v>
                </c:pt>
                <c:pt idx="44">
                  <c:v>23040</c:v>
                </c:pt>
                <c:pt idx="45">
                  <c:v>23040</c:v>
                </c:pt>
                <c:pt idx="46">
                  <c:v>23040</c:v>
                </c:pt>
                <c:pt idx="47">
                  <c:v>48000</c:v>
                </c:pt>
                <c:pt idx="48">
                  <c:v>26240</c:v>
                </c:pt>
                <c:pt idx="49">
                  <c:v>14810</c:v>
                </c:pt>
                <c:pt idx="51">
                  <c:v>25200</c:v>
                </c:pt>
                <c:pt idx="52">
                  <c:v>32800</c:v>
                </c:pt>
                <c:pt idx="53">
                  <c:v>32800</c:v>
                </c:pt>
                <c:pt idx="55">
                  <c:v>38400</c:v>
                </c:pt>
                <c:pt idx="56">
                  <c:v>28000</c:v>
                </c:pt>
                <c:pt idx="57">
                  <c:v>11520</c:v>
                </c:pt>
                <c:pt idx="58">
                  <c:v>16000</c:v>
                </c:pt>
                <c:pt idx="59">
                  <c:v>48000</c:v>
                </c:pt>
                <c:pt idx="60">
                  <c:v>39000</c:v>
                </c:pt>
                <c:pt idx="62">
                  <c:v>39000</c:v>
                </c:pt>
                <c:pt idx="63">
                  <c:v>1765</c:v>
                </c:pt>
                <c:pt idx="64">
                  <c:v>1920</c:v>
                </c:pt>
                <c:pt idx="65">
                  <c:v>1420</c:v>
                </c:pt>
                <c:pt idx="66">
                  <c:v>1420</c:v>
                </c:pt>
                <c:pt idx="67">
                  <c:v>5152</c:v>
                </c:pt>
                <c:pt idx="68">
                  <c:v>75600</c:v>
                </c:pt>
                <c:pt idx="72">
                  <c:v>30400</c:v>
                </c:pt>
                <c:pt idx="73">
                  <c:v>10700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3B-41D6-BBB2-4E85CC70247C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76200">
                <a:solidFill>
                  <a:srgbClr val="FF0000"/>
                </a:solidFill>
              </a:ln>
              <a:effectLst/>
            </c:spPr>
          </c:marker>
          <c:xVal>
            <c:numRef>
              <c:f>ROPAX!$B$3</c:f>
              <c:numCache>
                <c:formatCode>General</c:formatCode>
                <c:ptCount val="1"/>
                <c:pt idx="0">
                  <c:v>280</c:v>
                </c:pt>
              </c:numCache>
            </c:numRef>
          </c:xVal>
          <c:yVal>
            <c:numRef>
              <c:f>ROPAX!$B$11</c:f>
              <c:numCache>
                <c:formatCode>General</c:formatCode>
                <c:ptCount val="1"/>
                <c:pt idx="0">
                  <c:v>50000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33B-41D6-BBB2-4E85CC702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94944"/>
        <c:axId val="221739664"/>
      </c:scatterChart>
      <c:valAx>
        <c:axId val="221894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739664"/>
        <c:crosses val="autoZero"/>
        <c:crossBetween val="midCat"/>
      </c:valAx>
      <c:valAx>
        <c:axId val="22173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894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Loa/Lpp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forward val="40"/>
            <c:backward val="40"/>
            <c:dispRSqr val="0"/>
            <c:dispEq val="1"/>
            <c:trendlineLbl>
              <c:layout>
                <c:manualLayout>
                  <c:x val="-7.1674977361387629E-2"/>
                  <c:y val="-4.3097725920312252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ROPAX!$H$144:$H$217</c:f>
              <c:numCache>
                <c:formatCode>General</c:formatCode>
                <c:ptCount val="74"/>
                <c:pt idx="0">
                  <c:v>114.95</c:v>
                </c:pt>
                <c:pt idx="1">
                  <c:v>127.5</c:v>
                </c:pt>
                <c:pt idx="2">
                  <c:v>123</c:v>
                </c:pt>
                <c:pt idx="3">
                  <c:v>125</c:v>
                </c:pt>
                <c:pt idx="4">
                  <c:v>111.8</c:v>
                </c:pt>
                <c:pt idx="5">
                  <c:v>154</c:v>
                </c:pt>
                <c:pt idx="6">
                  <c:v>91.2</c:v>
                </c:pt>
                <c:pt idx="7">
                  <c:v>192.4</c:v>
                </c:pt>
                <c:pt idx="8">
                  <c:v>161.6</c:v>
                </c:pt>
                <c:pt idx="9">
                  <c:v>98.2</c:v>
                </c:pt>
                <c:pt idx="10">
                  <c:v>152.43</c:v>
                </c:pt>
                <c:pt idx="11">
                  <c:v>179.2</c:v>
                </c:pt>
                <c:pt idx="12">
                  <c:v>159.69999999999999</c:v>
                </c:pt>
                <c:pt idx="13">
                  <c:v>160.47999999999999</c:v>
                </c:pt>
                <c:pt idx="14">
                  <c:v>191.22</c:v>
                </c:pt>
                <c:pt idx="15">
                  <c:v>203.7</c:v>
                </c:pt>
                <c:pt idx="16">
                  <c:v>198</c:v>
                </c:pt>
                <c:pt idx="17">
                  <c:v>175</c:v>
                </c:pt>
                <c:pt idx="18">
                  <c:v>190.5</c:v>
                </c:pt>
                <c:pt idx="19">
                  <c:v>167</c:v>
                </c:pt>
                <c:pt idx="20">
                  <c:v>134</c:v>
                </c:pt>
                <c:pt idx="21">
                  <c:v>157.65</c:v>
                </c:pt>
                <c:pt idx="22">
                  <c:v>166.2</c:v>
                </c:pt>
                <c:pt idx="23">
                  <c:v>148.77000000000001</c:v>
                </c:pt>
                <c:pt idx="24">
                  <c:v>182.39</c:v>
                </c:pt>
                <c:pt idx="25">
                  <c:v>170</c:v>
                </c:pt>
                <c:pt idx="26">
                  <c:v>140</c:v>
                </c:pt>
                <c:pt idx="27">
                  <c:v>118.5</c:v>
                </c:pt>
                <c:pt idx="28">
                  <c:v>168.7</c:v>
                </c:pt>
                <c:pt idx="29">
                  <c:v>117.6</c:v>
                </c:pt>
                <c:pt idx="30">
                  <c:v>123</c:v>
                </c:pt>
                <c:pt idx="31">
                  <c:v>185.6</c:v>
                </c:pt>
                <c:pt idx="32">
                  <c:v>96</c:v>
                </c:pt>
                <c:pt idx="33">
                  <c:v>171</c:v>
                </c:pt>
                <c:pt idx="34">
                  <c:v>141</c:v>
                </c:pt>
                <c:pt idx="35">
                  <c:v>171.3</c:v>
                </c:pt>
                <c:pt idx="36">
                  <c:v>194.8</c:v>
                </c:pt>
                <c:pt idx="37">
                  <c:v>137.30000000000001</c:v>
                </c:pt>
                <c:pt idx="38">
                  <c:v>146</c:v>
                </c:pt>
                <c:pt idx="39">
                  <c:v>104.4</c:v>
                </c:pt>
                <c:pt idx="40">
                  <c:v>148</c:v>
                </c:pt>
                <c:pt idx="41">
                  <c:v>130</c:v>
                </c:pt>
                <c:pt idx="42">
                  <c:v>175</c:v>
                </c:pt>
                <c:pt idx="43">
                  <c:v>170.1</c:v>
                </c:pt>
                <c:pt idx="44">
                  <c:v>170</c:v>
                </c:pt>
                <c:pt idx="45">
                  <c:v>173.5</c:v>
                </c:pt>
                <c:pt idx="46">
                  <c:v>171.3</c:v>
                </c:pt>
                <c:pt idx="47">
                  <c:v>170</c:v>
                </c:pt>
                <c:pt idx="48">
                  <c:v>194.4</c:v>
                </c:pt>
                <c:pt idx="49">
                  <c:v>165</c:v>
                </c:pt>
                <c:pt idx="50">
                  <c:v>197.9</c:v>
                </c:pt>
                <c:pt idx="51">
                  <c:v>185</c:v>
                </c:pt>
                <c:pt idx="52">
                  <c:v>114.8</c:v>
                </c:pt>
                <c:pt idx="53">
                  <c:v>92.4</c:v>
                </c:pt>
                <c:pt idx="54">
                  <c:v>133.99</c:v>
                </c:pt>
                <c:pt idx="55">
                  <c:v>195.6766387195122</c:v>
                </c:pt>
                <c:pt idx="56">
                  <c:v>275.42130335365852</c:v>
                </c:pt>
                <c:pt idx="57">
                  <c:v>122.41063262195121</c:v>
                </c:pt>
                <c:pt idx="58">
                  <c:v>164</c:v>
                </c:pt>
                <c:pt idx="59">
                  <c:v>273.70636432926824</c:v>
                </c:pt>
                <c:pt idx="60">
                  <c:v>171.57221798780486</c:v>
                </c:pt>
                <c:pt idx="62">
                  <c:v>171.57221798780486</c:v>
                </c:pt>
                <c:pt idx="63">
                  <c:v>50.4</c:v>
                </c:pt>
                <c:pt idx="64">
                  <c:v>78.45</c:v>
                </c:pt>
                <c:pt idx="65">
                  <c:v>44.9</c:v>
                </c:pt>
                <c:pt idx="66">
                  <c:v>42.97</c:v>
                </c:pt>
                <c:pt idx="67">
                  <c:v>106.24</c:v>
                </c:pt>
                <c:pt idx="68">
                  <c:v>290.76048018292681</c:v>
                </c:pt>
                <c:pt idx="69">
                  <c:v>148</c:v>
                </c:pt>
                <c:pt idx="70">
                  <c:v>233.50057164634146</c:v>
                </c:pt>
                <c:pt idx="71">
                  <c:v>148</c:v>
                </c:pt>
                <c:pt idx="72">
                  <c:v>202.26009908536585</c:v>
                </c:pt>
                <c:pt idx="73">
                  <c:v>173.6</c:v>
                </c:pt>
              </c:numCache>
            </c:numRef>
          </c:xVal>
          <c:yVal>
            <c:numRef>
              <c:f>ROPAX!$G$144:$G$217</c:f>
              <c:numCache>
                <c:formatCode>General</c:formatCode>
                <c:ptCount val="74"/>
                <c:pt idx="0">
                  <c:v>124.9</c:v>
                </c:pt>
                <c:pt idx="1">
                  <c:v>137.30000000000001</c:v>
                </c:pt>
                <c:pt idx="2">
                  <c:v>138</c:v>
                </c:pt>
                <c:pt idx="3">
                  <c:v>142.44999999999999</c:v>
                </c:pt>
                <c:pt idx="4">
                  <c:v>123.8</c:v>
                </c:pt>
                <c:pt idx="5">
                  <c:v>160</c:v>
                </c:pt>
                <c:pt idx="6">
                  <c:v>99.4</c:v>
                </c:pt>
                <c:pt idx="7">
                  <c:v>209.8</c:v>
                </c:pt>
                <c:pt idx="8">
                  <c:v>176</c:v>
                </c:pt>
                <c:pt idx="9">
                  <c:v>112</c:v>
                </c:pt>
                <c:pt idx="10">
                  <c:v>165.74</c:v>
                </c:pt>
                <c:pt idx="11">
                  <c:v>199.4</c:v>
                </c:pt>
                <c:pt idx="12">
                  <c:v>176.01</c:v>
                </c:pt>
                <c:pt idx="13">
                  <c:v>176.1</c:v>
                </c:pt>
                <c:pt idx="14">
                  <c:v>214</c:v>
                </c:pt>
                <c:pt idx="15">
                  <c:v>215</c:v>
                </c:pt>
                <c:pt idx="16">
                  <c:v>212</c:v>
                </c:pt>
                <c:pt idx="17">
                  <c:v>190.75</c:v>
                </c:pt>
                <c:pt idx="18">
                  <c:v>199</c:v>
                </c:pt>
                <c:pt idx="19">
                  <c:v>179.99</c:v>
                </c:pt>
                <c:pt idx="20">
                  <c:v>148</c:v>
                </c:pt>
                <c:pt idx="21">
                  <c:v>166.75</c:v>
                </c:pt>
                <c:pt idx="22">
                  <c:v>180</c:v>
                </c:pt>
                <c:pt idx="23">
                  <c:v>162.19999999999999</c:v>
                </c:pt>
                <c:pt idx="24">
                  <c:v>193</c:v>
                </c:pt>
                <c:pt idx="26">
                  <c:v>152</c:v>
                </c:pt>
                <c:pt idx="27">
                  <c:v>126.4</c:v>
                </c:pt>
                <c:pt idx="28">
                  <c:v>180</c:v>
                </c:pt>
                <c:pt idx="29">
                  <c:v>129.1</c:v>
                </c:pt>
                <c:pt idx="30">
                  <c:v>138</c:v>
                </c:pt>
                <c:pt idx="31">
                  <c:v>203.9</c:v>
                </c:pt>
                <c:pt idx="32">
                  <c:v>108.6</c:v>
                </c:pt>
                <c:pt idx="33">
                  <c:v>184.5</c:v>
                </c:pt>
                <c:pt idx="34">
                  <c:v>150</c:v>
                </c:pt>
                <c:pt idx="35">
                  <c:v>183</c:v>
                </c:pt>
                <c:pt idx="36">
                  <c:v>212</c:v>
                </c:pt>
                <c:pt idx="37">
                  <c:v>150.4</c:v>
                </c:pt>
                <c:pt idx="38">
                  <c:v>157.6</c:v>
                </c:pt>
                <c:pt idx="39">
                  <c:v>112</c:v>
                </c:pt>
                <c:pt idx="40">
                  <c:v>159.5</c:v>
                </c:pt>
                <c:pt idx="41">
                  <c:v>147</c:v>
                </c:pt>
                <c:pt idx="42">
                  <c:v>190</c:v>
                </c:pt>
                <c:pt idx="43">
                  <c:v>185.8</c:v>
                </c:pt>
                <c:pt idx="44">
                  <c:v>188</c:v>
                </c:pt>
                <c:pt idx="45">
                  <c:v>181.6</c:v>
                </c:pt>
                <c:pt idx="46">
                  <c:v>183</c:v>
                </c:pt>
                <c:pt idx="47">
                  <c:v>185</c:v>
                </c:pt>
                <c:pt idx="48">
                  <c:v>212.1</c:v>
                </c:pt>
                <c:pt idx="49">
                  <c:v>177.2</c:v>
                </c:pt>
                <c:pt idx="50">
                  <c:v>212</c:v>
                </c:pt>
                <c:pt idx="51">
                  <c:v>199</c:v>
                </c:pt>
                <c:pt idx="52">
                  <c:v>126.7</c:v>
                </c:pt>
                <c:pt idx="53">
                  <c:v>106.3</c:v>
                </c:pt>
                <c:pt idx="54">
                  <c:v>146.55390400000002</c:v>
                </c:pt>
                <c:pt idx="55">
                  <c:v>211.3</c:v>
                </c:pt>
                <c:pt idx="56">
                  <c:v>295</c:v>
                </c:pt>
                <c:pt idx="57">
                  <c:v>134.4</c:v>
                </c:pt>
                <c:pt idx="58">
                  <c:v>187.71</c:v>
                </c:pt>
                <c:pt idx="59">
                  <c:v>293.2</c:v>
                </c:pt>
                <c:pt idx="60">
                  <c:v>186</c:v>
                </c:pt>
                <c:pt idx="61">
                  <c:v>0</c:v>
                </c:pt>
                <c:pt idx="62">
                  <c:v>186</c:v>
                </c:pt>
                <c:pt idx="63">
                  <c:v>55.47</c:v>
                </c:pt>
                <c:pt idx="64">
                  <c:v>89.98</c:v>
                </c:pt>
                <c:pt idx="65">
                  <c:v>49.92</c:v>
                </c:pt>
                <c:pt idx="66">
                  <c:v>49.72</c:v>
                </c:pt>
                <c:pt idx="67">
                  <c:v>117.17</c:v>
                </c:pt>
                <c:pt idx="68">
                  <c:v>311.10000000000002</c:v>
                </c:pt>
                <c:pt idx="69">
                  <c:v>170</c:v>
                </c:pt>
                <c:pt idx="70">
                  <c:v>251</c:v>
                </c:pt>
                <c:pt idx="71">
                  <c:v>170</c:v>
                </c:pt>
                <c:pt idx="72">
                  <c:v>218.21</c:v>
                </c:pt>
                <c:pt idx="73">
                  <c:v>181.18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22-40E1-81E9-C66EA7B86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31816"/>
        <c:axId val="220196392"/>
      </c:scatterChart>
      <c:valAx>
        <c:axId val="220831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Lbp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196392"/>
        <c:crosses val="autoZero"/>
        <c:crossBetween val="midCat"/>
      </c:valAx>
      <c:valAx>
        <c:axId val="220196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Loa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31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Lpp/v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ROPAX!$H$144:$H$217</c:f>
              <c:numCache>
                <c:formatCode>General</c:formatCode>
                <c:ptCount val="74"/>
                <c:pt idx="0">
                  <c:v>114.95</c:v>
                </c:pt>
                <c:pt idx="1">
                  <c:v>127.5</c:v>
                </c:pt>
                <c:pt idx="2">
                  <c:v>123</c:v>
                </c:pt>
                <c:pt idx="3">
                  <c:v>125</c:v>
                </c:pt>
                <c:pt idx="4">
                  <c:v>111.8</c:v>
                </c:pt>
                <c:pt idx="5">
                  <c:v>154</c:v>
                </c:pt>
                <c:pt idx="6">
                  <c:v>91.2</c:v>
                </c:pt>
                <c:pt idx="7">
                  <c:v>192.4</c:v>
                </c:pt>
                <c:pt idx="8">
                  <c:v>161.6</c:v>
                </c:pt>
                <c:pt idx="9">
                  <c:v>98.2</c:v>
                </c:pt>
                <c:pt idx="10">
                  <c:v>152.43</c:v>
                </c:pt>
                <c:pt idx="11">
                  <c:v>179.2</c:v>
                </c:pt>
                <c:pt idx="12">
                  <c:v>159.69999999999999</c:v>
                </c:pt>
                <c:pt idx="13">
                  <c:v>160.47999999999999</c:v>
                </c:pt>
                <c:pt idx="14">
                  <c:v>191.22</c:v>
                </c:pt>
                <c:pt idx="15">
                  <c:v>203.7</c:v>
                </c:pt>
                <c:pt idx="16">
                  <c:v>198</c:v>
                </c:pt>
                <c:pt idx="17">
                  <c:v>175</c:v>
                </c:pt>
                <c:pt idx="18">
                  <c:v>190.5</c:v>
                </c:pt>
                <c:pt idx="19">
                  <c:v>167</c:v>
                </c:pt>
                <c:pt idx="20">
                  <c:v>134</c:v>
                </c:pt>
                <c:pt idx="21">
                  <c:v>157.65</c:v>
                </c:pt>
                <c:pt idx="22">
                  <c:v>166.2</c:v>
                </c:pt>
                <c:pt idx="23">
                  <c:v>148.77000000000001</c:v>
                </c:pt>
                <c:pt idx="24">
                  <c:v>182.39</c:v>
                </c:pt>
                <c:pt idx="25">
                  <c:v>170</c:v>
                </c:pt>
                <c:pt idx="26">
                  <c:v>140</c:v>
                </c:pt>
                <c:pt idx="27">
                  <c:v>118.5</c:v>
                </c:pt>
                <c:pt idx="28">
                  <c:v>168.7</c:v>
                </c:pt>
                <c:pt idx="29">
                  <c:v>117.6</c:v>
                </c:pt>
                <c:pt idx="30">
                  <c:v>123</c:v>
                </c:pt>
                <c:pt idx="31">
                  <c:v>185.6</c:v>
                </c:pt>
                <c:pt idx="32">
                  <c:v>96</c:v>
                </c:pt>
                <c:pt idx="33">
                  <c:v>171</c:v>
                </c:pt>
                <c:pt idx="34">
                  <c:v>141</c:v>
                </c:pt>
                <c:pt idx="35">
                  <c:v>171.3</c:v>
                </c:pt>
                <c:pt idx="36">
                  <c:v>194.8</c:v>
                </c:pt>
                <c:pt idx="37">
                  <c:v>137.30000000000001</c:v>
                </c:pt>
                <c:pt idx="38">
                  <c:v>146</c:v>
                </c:pt>
                <c:pt idx="39">
                  <c:v>104.4</c:v>
                </c:pt>
                <c:pt idx="40">
                  <c:v>148</c:v>
                </c:pt>
                <c:pt idx="41">
                  <c:v>130</c:v>
                </c:pt>
                <c:pt idx="42">
                  <c:v>175</c:v>
                </c:pt>
                <c:pt idx="43">
                  <c:v>170.1</c:v>
                </c:pt>
                <c:pt idx="44">
                  <c:v>170</c:v>
                </c:pt>
                <c:pt idx="45">
                  <c:v>173.5</c:v>
                </c:pt>
                <c:pt idx="46">
                  <c:v>171.3</c:v>
                </c:pt>
                <c:pt idx="47">
                  <c:v>170</c:v>
                </c:pt>
                <c:pt idx="48">
                  <c:v>194.4</c:v>
                </c:pt>
                <c:pt idx="49">
                  <c:v>165</c:v>
                </c:pt>
                <c:pt idx="50">
                  <c:v>197.9</c:v>
                </c:pt>
                <c:pt idx="51">
                  <c:v>185</c:v>
                </c:pt>
                <c:pt idx="52">
                  <c:v>114.8</c:v>
                </c:pt>
                <c:pt idx="53">
                  <c:v>92.4</c:v>
                </c:pt>
                <c:pt idx="54">
                  <c:v>133.99</c:v>
                </c:pt>
                <c:pt idx="55">
                  <c:v>195.6766387195122</c:v>
                </c:pt>
                <c:pt idx="56">
                  <c:v>275.42130335365852</c:v>
                </c:pt>
                <c:pt idx="57">
                  <c:v>122.41063262195121</c:v>
                </c:pt>
                <c:pt idx="58">
                  <c:v>164</c:v>
                </c:pt>
                <c:pt idx="59">
                  <c:v>273.70636432926824</c:v>
                </c:pt>
                <c:pt idx="60">
                  <c:v>171.57221798780486</c:v>
                </c:pt>
                <c:pt idx="62">
                  <c:v>171.57221798780486</c:v>
                </c:pt>
                <c:pt idx="63">
                  <c:v>50.4</c:v>
                </c:pt>
                <c:pt idx="64">
                  <c:v>78.45</c:v>
                </c:pt>
                <c:pt idx="65">
                  <c:v>44.9</c:v>
                </c:pt>
                <c:pt idx="66">
                  <c:v>42.97</c:v>
                </c:pt>
                <c:pt idx="67">
                  <c:v>106.24</c:v>
                </c:pt>
                <c:pt idx="68">
                  <c:v>290.76048018292681</c:v>
                </c:pt>
                <c:pt idx="69">
                  <c:v>148</c:v>
                </c:pt>
                <c:pt idx="70">
                  <c:v>233.50057164634146</c:v>
                </c:pt>
                <c:pt idx="71">
                  <c:v>148</c:v>
                </c:pt>
                <c:pt idx="72">
                  <c:v>202.26009908536585</c:v>
                </c:pt>
                <c:pt idx="73">
                  <c:v>173.6</c:v>
                </c:pt>
              </c:numCache>
            </c:numRef>
          </c:xVal>
          <c:yVal>
            <c:numRef>
              <c:f>ROPAX!$F$144:$F$217</c:f>
              <c:numCache>
                <c:formatCode>General</c:formatCode>
                <c:ptCount val="74"/>
                <c:pt idx="0">
                  <c:v>18.8</c:v>
                </c:pt>
                <c:pt idx="1">
                  <c:v>19.350000000000001</c:v>
                </c:pt>
                <c:pt idx="2">
                  <c:v>21.55</c:v>
                </c:pt>
                <c:pt idx="3">
                  <c:v>22</c:v>
                </c:pt>
                <c:pt idx="4">
                  <c:v>24.1</c:v>
                </c:pt>
                <c:pt idx="5">
                  <c:v>21</c:v>
                </c:pt>
                <c:pt idx="6">
                  <c:v>16.8</c:v>
                </c:pt>
                <c:pt idx="7">
                  <c:v>22</c:v>
                </c:pt>
                <c:pt idx="8">
                  <c:v>24.8</c:v>
                </c:pt>
                <c:pt idx="9">
                  <c:v>21</c:v>
                </c:pt>
                <c:pt idx="10">
                  <c:v>20.8</c:v>
                </c:pt>
                <c:pt idx="11">
                  <c:v>22.5</c:v>
                </c:pt>
                <c:pt idx="12">
                  <c:v>29</c:v>
                </c:pt>
                <c:pt idx="13">
                  <c:v>27</c:v>
                </c:pt>
                <c:pt idx="14">
                  <c:v>29.5</c:v>
                </c:pt>
                <c:pt idx="15">
                  <c:v>22</c:v>
                </c:pt>
                <c:pt idx="16">
                  <c:v>30</c:v>
                </c:pt>
                <c:pt idx="17">
                  <c:v>22</c:v>
                </c:pt>
                <c:pt idx="18">
                  <c:v>20.6</c:v>
                </c:pt>
                <c:pt idx="19">
                  <c:v>20</c:v>
                </c:pt>
                <c:pt idx="20">
                  <c:v>19</c:v>
                </c:pt>
                <c:pt idx="21">
                  <c:v>22</c:v>
                </c:pt>
                <c:pt idx="22">
                  <c:v>20.6</c:v>
                </c:pt>
                <c:pt idx="23">
                  <c:v>20</c:v>
                </c:pt>
                <c:pt idx="24">
                  <c:v>21.6</c:v>
                </c:pt>
                <c:pt idx="25">
                  <c:v>22</c:v>
                </c:pt>
                <c:pt idx="26">
                  <c:v>20</c:v>
                </c:pt>
                <c:pt idx="27">
                  <c:v>18</c:v>
                </c:pt>
                <c:pt idx="28">
                  <c:v>23.3</c:v>
                </c:pt>
                <c:pt idx="29">
                  <c:v>18.5</c:v>
                </c:pt>
                <c:pt idx="30">
                  <c:v>21</c:v>
                </c:pt>
                <c:pt idx="31">
                  <c:v>29</c:v>
                </c:pt>
                <c:pt idx="32">
                  <c:v>17.5</c:v>
                </c:pt>
                <c:pt idx="33">
                  <c:v>22.5</c:v>
                </c:pt>
                <c:pt idx="34">
                  <c:v>19.5</c:v>
                </c:pt>
                <c:pt idx="35">
                  <c:v>18</c:v>
                </c:pt>
                <c:pt idx="36">
                  <c:v>22</c:v>
                </c:pt>
                <c:pt idx="37">
                  <c:v>18.5</c:v>
                </c:pt>
                <c:pt idx="38">
                  <c:v>20</c:v>
                </c:pt>
                <c:pt idx="39">
                  <c:v>19</c:v>
                </c:pt>
                <c:pt idx="40">
                  <c:v>22.5</c:v>
                </c:pt>
                <c:pt idx="41">
                  <c:v>22</c:v>
                </c:pt>
                <c:pt idx="42">
                  <c:v>18.5</c:v>
                </c:pt>
                <c:pt idx="43">
                  <c:v>25</c:v>
                </c:pt>
                <c:pt idx="44">
                  <c:v>20.5</c:v>
                </c:pt>
                <c:pt idx="45">
                  <c:v>19</c:v>
                </c:pt>
                <c:pt idx="46">
                  <c:v>18</c:v>
                </c:pt>
                <c:pt idx="47">
                  <c:v>27</c:v>
                </c:pt>
                <c:pt idx="48">
                  <c:v>22</c:v>
                </c:pt>
                <c:pt idx="49">
                  <c:v>20</c:v>
                </c:pt>
                <c:pt idx="50">
                  <c:v>22</c:v>
                </c:pt>
                <c:pt idx="51">
                  <c:v>18</c:v>
                </c:pt>
                <c:pt idx="52">
                  <c:v>40</c:v>
                </c:pt>
                <c:pt idx="53">
                  <c:v>37</c:v>
                </c:pt>
                <c:pt idx="55">
                  <c:v>27</c:v>
                </c:pt>
                <c:pt idx="56">
                  <c:v>21.7</c:v>
                </c:pt>
                <c:pt idx="57">
                  <c:v>19</c:v>
                </c:pt>
                <c:pt idx="58">
                  <c:v>20.100000000000001</c:v>
                </c:pt>
                <c:pt idx="59">
                  <c:v>21.7</c:v>
                </c:pt>
                <c:pt idx="60">
                  <c:v>25</c:v>
                </c:pt>
                <c:pt idx="61">
                  <c:v>25</c:v>
                </c:pt>
                <c:pt idx="62">
                  <c:v>23</c:v>
                </c:pt>
                <c:pt idx="63">
                  <c:v>13.7</c:v>
                </c:pt>
                <c:pt idx="64">
                  <c:v>14.3</c:v>
                </c:pt>
                <c:pt idx="65">
                  <c:v>12.5</c:v>
                </c:pt>
                <c:pt idx="66">
                  <c:v>9.4</c:v>
                </c:pt>
                <c:pt idx="67">
                  <c:v>16</c:v>
                </c:pt>
                <c:pt idx="68">
                  <c:v>22</c:v>
                </c:pt>
                <c:pt idx="69">
                  <c:v>21.5</c:v>
                </c:pt>
                <c:pt idx="70">
                  <c:v>20</c:v>
                </c:pt>
                <c:pt idx="71">
                  <c:v>21.5</c:v>
                </c:pt>
                <c:pt idx="72">
                  <c:v>21.8</c:v>
                </c:pt>
                <c:pt idx="73">
                  <c:v>18.5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D39-4CED-A788-CE1A7EC885C7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76200">
                <a:solidFill>
                  <a:srgbClr val="FF0000"/>
                </a:solidFill>
              </a:ln>
              <a:effectLst/>
            </c:spPr>
          </c:marker>
          <c:xVal>
            <c:numRef>
              <c:f>ROPAX!$B$3</c:f>
              <c:numCache>
                <c:formatCode>General</c:formatCode>
                <c:ptCount val="1"/>
                <c:pt idx="0">
                  <c:v>280</c:v>
                </c:pt>
              </c:numCache>
            </c:numRef>
          </c:xVal>
          <c:yVal>
            <c:numRef>
              <c:f>ROPAX!$B$9</c:f>
              <c:numCache>
                <c:formatCode>General</c:formatCode>
                <c:ptCount val="1"/>
                <c:pt idx="0">
                  <c:v>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D39-4CED-A788-CE1A7EC88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590856"/>
        <c:axId val="5247880"/>
      </c:scatterChart>
      <c:valAx>
        <c:axId val="220590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Lbp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7880"/>
        <c:crosses val="autoZero"/>
        <c:crossBetween val="midCat"/>
      </c:valAx>
      <c:valAx>
        <c:axId val="524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Velocity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590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d(Lpp)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forward val="40"/>
            <c:backward val="40"/>
            <c:dispRSqr val="0"/>
            <c:dispEq val="0"/>
          </c:trendline>
          <c:xVal>
            <c:numRef>
              <c:f>ROPAX!$H$144:$H$217</c:f>
              <c:numCache>
                <c:formatCode>General</c:formatCode>
                <c:ptCount val="74"/>
                <c:pt idx="0">
                  <c:v>114.95</c:v>
                </c:pt>
                <c:pt idx="1">
                  <c:v>127.5</c:v>
                </c:pt>
                <c:pt idx="2">
                  <c:v>123</c:v>
                </c:pt>
                <c:pt idx="3">
                  <c:v>125</c:v>
                </c:pt>
                <c:pt idx="4">
                  <c:v>111.8</c:v>
                </c:pt>
                <c:pt idx="5">
                  <c:v>154</c:v>
                </c:pt>
                <c:pt idx="6">
                  <c:v>91.2</c:v>
                </c:pt>
                <c:pt idx="7">
                  <c:v>192.4</c:v>
                </c:pt>
                <c:pt idx="8">
                  <c:v>161.6</c:v>
                </c:pt>
                <c:pt idx="9">
                  <c:v>98.2</c:v>
                </c:pt>
                <c:pt idx="10">
                  <c:v>152.43</c:v>
                </c:pt>
                <c:pt idx="11">
                  <c:v>179.2</c:v>
                </c:pt>
                <c:pt idx="12">
                  <c:v>159.69999999999999</c:v>
                </c:pt>
                <c:pt idx="13">
                  <c:v>160.47999999999999</c:v>
                </c:pt>
                <c:pt idx="14">
                  <c:v>191.22</c:v>
                </c:pt>
                <c:pt idx="15">
                  <c:v>203.7</c:v>
                </c:pt>
                <c:pt idx="16">
                  <c:v>198</c:v>
                </c:pt>
                <c:pt idx="17">
                  <c:v>175</c:v>
                </c:pt>
                <c:pt idx="18">
                  <c:v>190.5</c:v>
                </c:pt>
                <c:pt idx="19">
                  <c:v>167</c:v>
                </c:pt>
                <c:pt idx="20">
                  <c:v>134</c:v>
                </c:pt>
                <c:pt idx="21">
                  <c:v>157.65</c:v>
                </c:pt>
                <c:pt idx="22">
                  <c:v>166.2</c:v>
                </c:pt>
                <c:pt idx="23">
                  <c:v>148.77000000000001</c:v>
                </c:pt>
                <c:pt idx="24">
                  <c:v>182.39</c:v>
                </c:pt>
                <c:pt idx="25">
                  <c:v>170</c:v>
                </c:pt>
                <c:pt idx="26">
                  <c:v>140</c:v>
                </c:pt>
                <c:pt idx="27">
                  <c:v>118.5</c:v>
                </c:pt>
                <c:pt idx="28">
                  <c:v>168.7</c:v>
                </c:pt>
                <c:pt idx="29">
                  <c:v>117.6</c:v>
                </c:pt>
                <c:pt idx="30">
                  <c:v>123</c:v>
                </c:pt>
                <c:pt idx="31">
                  <c:v>185.6</c:v>
                </c:pt>
                <c:pt idx="32">
                  <c:v>96</c:v>
                </c:pt>
                <c:pt idx="33">
                  <c:v>171</c:v>
                </c:pt>
                <c:pt idx="34">
                  <c:v>141</c:v>
                </c:pt>
                <c:pt idx="35">
                  <c:v>171.3</c:v>
                </c:pt>
                <c:pt idx="36">
                  <c:v>194.8</c:v>
                </c:pt>
                <c:pt idx="37">
                  <c:v>137.30000000000001</c:v>
                </c:pt>
                <c:pt idx="38">
                  <c:v>146</c:v>
                </c:pt>
                <c:pt idx="39">
                  <c:v>104.4</c:v>
                </c:pt>
                <c:pt idx="40">
                  <c:v>148</c:v>
                </c:pt>
                <c:pt idx="41">
                  <c:v>130</c:v>
                </c:pt>
                <c:pt idx="42">
                  <c:v>175</c:v>
                </c:pt>
                <c:pt idx="43">
                  <c:v>170.1</c:v>
                </c:pt>
                <c:pt idx="44">
                  <c:v>170</c:v>
                </c:pt>
                <c:pt idx="45">
                  <c:v>173.5</c:v>
                </c:pt>
                <c:pt idx="46">
                  <c:v>171.3</c:v>
                </c:pt>
                <c:pt idx="47">
                  <c:v>170</c:v>
                </c:pt>
                <c:pt idx="48">
                  <c:v>194.4</c:v>
                </c:pt>
                <c:pt idx="49">
                  <c:v>165</c:v>
                </c:pt>
                <c:pt idx="50">
                  <c:v>197.9</c:v>
                </c:pt>
                <c:pt idx="51">
                  <c:v>185</c:v>
                </c:pt>
                <c:pt idx="52">
                  <c:v>114.8</c:v>
                </c:pt>
                <c:pt idx="53">
                  <c:v>92.4</c:v>
                </c:pt>
                <c:pt idx="54">
                  <c:v>133.99</c:v>
                </c:pt>
                <c:pt idx="55">
                  <c:v>195.6766387195122</c:v>
                </c:pt>
                <c:pt idx="56">
                  <c:v>275.42130335365852</c:v>
                </c:pt>
                <c:pt idx="57">
                  <c:v>122.41063262195121</c:v>
                </c:pt>
                <c:pt idx="58">
                  <c:v>164</c:v>
                </c:pt>
                <c:pt idx="59">
                  <c:v>273.70636432926824</c:v>
                </c:pt>
                <c:pt idx="60">
                  <c:v>171.57221798780486</c:v>
                </c:pt>
                <c:pt idx="62">
                  <c:v>171.57221798780486</c:v>
                </c:pt>
                <c:pt idx="63">
                  <c:v>50.4</c:v>
                </c:pt>
                <c:pt idx="64">
                  <c:v>78.45</c:v>
                </c:pt>
                <c:pt idx="65">
                  <c:v>44.9</c:v>
                </c:pt>
                <c:pt idx="66">
                  <c:v>42.97</c:v>
                </c:pt>
                <c:pt idx="67">
                  <c:v>106.24</c:v>
                </c:pt>
                <c:pt idx="68">
                  <c:v>290.76048018292681</c:v>
                </c:pt>
                <c:pt idx="69">
                  <c:v>148</c:v>
                </c:pt>
                <c:pt idx="70">
                  <c:v>233.50057164634146</c:v>
                </c:pt>
                <c:pt idx="71">
                  <c:v>148</c:v>
                </c:pt>
                <c:pt idx="72">
                  <c:v>202.26009908536585</c:v>
                </c:pt>
                <c:pt idx="73">
                  <c:v>173.6</c:v>
                </c:pt>
              </c:numCache>
            </c:numRef>
          </c:xVal>
          <c:yVal>
            <c:numRef>
              <c:f>ROPAX!$J$144:$J$217</c:f>
              <c:numCache>
                <c:formatCode>General</c:formatCode>
                <c:ptCount val="74"/>
                <c:pt idx="0">
                  <c:v>5.3</c:v>
                </c:pt>
                <c:pt idx="1">
                  <c:v>5.4</c:v>
                </c:pt>
                <c:pt idx="2">
                  <c:v>5.6</c:v>
                </c:pt>
                <c:pt idx="3">
                  <c:v>5.7</c:v>
                </c:pt>
                <c:pt idx="4">
                  <c:v>4.9000000000000004</c:v>
                </c:pt>
                <c:pt idx="5">
                  <c:v>5.75</c:v>
                </c:pt>
                <c:pt idx="6">
                  <c:v>3.2</c:v>
                </c:pt>
                <c:pt idx="7">
                  <c:v>6.4</c:v>
                </c:pt>
                <c:pt idx="8">
                  <c:v>6.62</c:v>
                </c:pt>
                <c:pt idx="9">
                  <c:v>4.5</c:v>
                </c:pt>
                <c:pt idx="10">
                  <c:v>6.3</c:v>
                </c:pt>
                <c:pt idx="11">
                  <c:v>6.08</c:v>
                </c:pt>
                <c:pt idx="12">
                  <c:v>6.3</c:v>
                </c:pt>
                <c:pt idx="13">
                  <c:v>6.35</c:v>
                </c:pt>
                <c:pt idx="14">
                  <c:v>7.1</c:v>
                </c:pt>
                <c:pt idx="15">
                  <c:v>6.05</c:v>
                </c:pt>
                <c:pt idx="16">
                  <c:v>6.6</c:v>
                </c:pt>
                <c:pt idx="17">
                  <c:v>6.2</c:v>
                </c:pt>
                <c:pt idx="18">
                  <c:v>9.5</c:v>
                </c:pt>
                <c:pt idx="19">
                  <c:v>8.4</c:v>
                </c:pt>
                <c:pt idx="20">
                  <c:v>7.2</c:v>
                </c:pt>
                <c:pt idx="21">
                  <c:v>5.8</c:v>
                </c:pt>
                <c:pt idx="22">
                  <c:v>6</c:v>
                </c:pt>
                <c:pt idx="23">
                  <c:v>6.6</c:v>
                </c:pt>
                <c:pt idx="24">
                  <c:v>5.7</c:v>
                </c:pt>
                <c:pt idx="25">
                  <c:v>6</c:v>
                </c:pt>
                <c:pt idx="26">
                  <c:v>6.3</c:v>
                </c:pt>
                <c:pt idx="27">
                  <c:v>6</c:v>
                </c:pt>
                <c:pt idx="28">
                  <c:v>6.5</c:v>
                </c:pt>
                <c:pt idx="29">
                  <c:v>5.8</c:v>
                </c:pt>
                <c:pt idx="30">
                  <c:v>5.8129999999999997</c:v>
                </c:pt>
                <c:pt idx="31">
                  <c:v>6.4</c:v>
                </c:pt>
                <c:pt idx="32">
                  <c:v>4.5999999999999996</c:v>
                </c:pt>
                <c:pt idx="33">
                  <c:v>6.7839999999999998</c:v>
                </c:pt>
                <c:pt idx="34">
                  <c:v>5.1150000000000002</c:v>
                </c:pt>
                <c:pt idx="35">
                  <c:v>7.4160000000000004</c:v>
                </c:pt>
                <c:pt idx="36">
                  <c:v>6.3</c:v>
                </c:pt>
                <c:pt idx="37">
                  <c:v>6</c:v>
                </c:pt>
                <c:pt idx="38">
                  <c:v>8.3010000000000002</c:v>
                </c:pt>
                <c:pt idx="39">
                  <c:v>4.5</c:v>
                </c:pt>
                <c:pt idx="40">
                  <c:v>5.5</c:v>
                </c:pt>
                <c:pt idx="41">
                  <c:v>6</c:v>
                </c:pt>
                <c:pt idx="42">
                  <c:v>6.2</c:v>
                </c:pt>
                <c:pt idx="43">
                  <c:v>6.5</c:v>
                </c:pt>
                <c:pt idx="44">
                  <c:v>6.2140000000000004</c:v>
                </c:pt>
                <c:pt idx="45">
                  <c:v>5.75</c:v>
                </c:pt>
                <c:pt idx="46">
                  <c:v>7.4</c:v>
                </c:pt>
                <c:pt idx="47">
                  <c:v>6.5</c:v>
                </c:pt>
                <c:pt idx="48">
                  <c:v>6.4</c:v>
                </c:pt>
                <c:pt idx="49">
                  <c:v>5.7</c:v>
                </c:pt>
                <c:pt idx="50">
                  <c:v>6.5</c:v>
                </c:pt>
                <c:pt idx="52">
                  <c:v>4.2</c:v>
                </c:pt>
                <c:pt idx="53">
                  <c:v>3.65</c:v>
                </c:pt>
                <c:pt idx="54">
                  <c:v>5.92</c:v>
                </c:pt>
                <c:pt idx="55">
                  <c:v>6.5</c:v>
                </c:pt>
                <c:pt idx="56">
                  <c:v>8.0500000000000007</c:v>
                </c:pt>
                <c:pt idx="57">
                  <c:v>5.6</c:v>
                </c:pt>
                <c:pt idx="58">
                  <c:v>6.2</c:v>
                </c:pt>
                <c:pt idx="59">
                  <c:v>8.0500000000000007</c:v>
                </c:pt>
                <c:pt idx="60">
                  <c:v>6.5</c:v>
                </c:pt>
                <c:pt idx="61">
                  <c:v>7.1</c:v>
                </c:pt>
                <c:pt idx="62">
                  <c:v>6.55</c:v>
                </c:pt>
                <c:pt idx="63">
                  <c:v>4.5</c:v>
                </c:pt>
                <c:pt idx="64">
                  <c:v>5.25</c:v>
                </c:pt>
                <c:pt idx="65">
                  <c:v>3.1</c:v>
                </c:pt>
                <c:pt idx="66">
                  <c:v>3.1</c:v>
                </c:pt>
                <c:pt idx="67">
                  <c:v>5.9</c:v>
                </c:pt>
                <c:pt idx="68">
                  <c:v>8.8000000000000007</c:v>
                </c:pt>
                <c:pt idx="69">
                  <c:v>6.36</c:v>
                </c:pt>
                <c:pt idx="70">
                  <c:v>7.32</c:v>
                </c:pt>
                <c:pt idx="71">
                  <c:v>6.36</c:v>
                </c:pt>
                <c:pt idx="72">
                  <c:v>6.8</c:v>
                </c:pt>
                <c:pt idx="73">
                  <c:v>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A59-4832-B948-AAD06D52EBF1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76200">
                <a:solidFill>
                  <a:srgbClr val="FF0000"/>
                </a:solidFill>
              </a:ln>
              <a:effectLst/>
            </c:spPr>
          </c:marker>
          <c:xVal>
            <c:numRef>
              <c:f>ROPAX!$B$3</c:f>
              <c:numCache>
                <c:formatCode>General</c:formatCode>
                <c:ptCount val="1"/>
                <c:pt idx="0">
                  <c:v>280</c:v>
                </c:pt>
              </c:numCache>
            </c:numRef>
          </c:xVal>
          <c:yVal>
            <c:numRef>
              <c:f>ROPAX!$B$5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A59-4832-B948-AAD06D52E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126880"/>
        <c:axId val="221127272"/>
      </c:scatterChart>
      <c:valAx>
        <c:axId val="221126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Lbp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127272"/>
        <c:crosses val="autoZero"/>
        <c:crossBetween val="midCat"/>
      </c:valAx>
      <c:valAx>
        <c:axId val="221127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T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126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GT(Lbp)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ROPAX!$H$144:$H$217</c:f>
              <c:numCache>
                <c:formatCode>General</c:formatCode>
                <c:ptCount val="74"/>
                <c:pt idx="0">
                  <c:v>114.95</c:v>
                </c:pt>
                <c:pt idx="1">
                  <c:v>127.5</c:v>
                </c:pt>
                <c:pt idx="2">
                  <c:v>123</c:v>
                </c:pt>
                <c:pt idx="3">
                  <c:v>125</c:v>
                </c:pt>
                <c:pt idx="4">
                  <c:v>111.8</c:v>
                </c:pt>
                <c:pt idx="5">
                  <c:v>154</c:v>
                </c:pt>
                <c:pt idx="6">
                  <c:v>91.2</c:v>
                </c:pt>
                <c:pt idx="7">
                  <c:v>192.4</c:v>
                </c:pt>
                <c:pt idx="8">
                  <c:v>161.6</c:v>
                </c:pt>
                <c:pt idx="9">
                  <c:v>98.2</c:v>
                </c:pt>
                <c:pt idx="10">
                  <c:v>152.43</c:v>
                </c:pt>
                <c:pt idx="11">
                  <c:v>179.2</c:v>
                </c:pt>
                <c:pt idx="12">
                  <c:v>159.69999999999999</c:v>
                </c:pt>
                <c:pt idx="13">
                  <c:v>160.47999999999999</c:v>
                </c:pt>
                <c:pt idx="14">
                  <c:v>191.22</c:v>
                </c:pt>
                <c:pt idx="15">
                  <c:v>203.7</c:v>
                </c:pt>
                <c:pt idx="16">
                  <c:v>198</c:v>
                </c:pt>
                <c:pt idx="17">
                  <c:v>175</c:v>
                </c:pt>
                <c:pt idx="18">
                  <c:v>190.5</c:v>
                </c:pt>
                <c:pt idx="19">
                  <c:v>167</c:v>
                </c:pt>
                <c:pt idx="20">
                  <c:v>134</c:v>
                </c:pt>
                <c:pt idx="21">
                  <c:v>157.65</c:v>
                </c:pt>
                <c:pt idx="22">
                  <c:v>166.2</c:v>
                </c:pt>
                <c:pt idx="23">
                  <c:v>148.77000000000001</c:v>
                </c:pt>
                <c:pt idx="24">
                  <c:v>182.39</c:v>
                </c:pt>
                <c:pt idx="25">
                  <c:v>170</c:v>
                </c:pt>
                <c:pt idx="26">
                  <c:v>140</c:v>
                </c:pt>
                <c:pt idx="27">
                  <c:v>118.5</c:v>
                </c:pt>
                <c:pt idx="28">
                  <c:v>168.7</c:v>
                </c:pt>
                <c:pt idx="29">
                  <c:v>117.6</c:v>
                </c:pt>
                <c:pt idx="30">
                  <c:v>123</c:v>
                </c:pt>
                <c:pt idx="31">
                  <c:v>185.6</c:v>
                </c:pt>
                <c:pt idx="32">
                  <c:v>96</c:v>
                </c:pt>
                <c:pt idx="33">
                  <c:v>171</c:v>
                </c:pt>
                <c:pt idx="34">
                  <c:v>141</c:v>
                </c:pt>
                <c:pt idx="35">
                  <c:v>171.3</c:v>
                </c:pt>
                <c:pt idx="36">
                  <c:v>194.8</c:v>
                </c:pt>
                <c:pt idx="37">
                  <c:v>137.30000000000001</c:v>
                </c:pt>
                <c:pt idx="38">
                  <c:v>146</c:v>
                </c:pt>
                <c:pt idx="39">
                  <c:v>104.4</c:v>
                </c:pt>
                <c:pt idx="40">
                  <c:v>148</c:v>
                </c:pt>
                <c:pt idx="41">
                  <c:v>130</c:v>
                </c:pt>
                <c:pt idx="42">
                  <c:v>175</c:v>
                </c:pt>
                <c:pt idx="43">
                  <c:v>170.1</c:v>
                </c:pt>
                <c:pt idx="44">
                  <c:v>170</c:v>
                </c:pt>
                <c:pt idx="45">
                  <c:v>173.5</c:v>
                </c:pt>
                <c:pt idx="46">
                  <c:v>171.3</c:v>
                </c:pt>
                <c:pt idx="47">
                  <c:v>170</c:v>
                </c:pt>
                <c:pt idx="48">
                  <c:v>194.4</c:v>
                </c:pt>
                <c:pt idx="49">
                  <c:v>165</c:v>
                </c:pt>
                <c:pt idx="50">
                  <c:v>197.9</c:v>
                </c:pt>
                <c:pt idx="51">
                  <c:v>185</c:v>
                </c:pt>
                <c:pt idx="52">
                  <c:v>114.8</c:v>
                </c:pt>
                <c:pt idx="53">
                  <c:v>92.4</c:v>
                </c:pt>
                <c:pt idx="54">
                  <c:v>133.99</c:v>
                </c:pt>
                <c:pt idx="55">
                  <c:v>195.6766387195122</c:v>
                </c:pt>
                <c:pt idx="56">
                  <c:v>275.42130335365852</c:v>
                </c:pt>
                <c:pt idx="57">
                  <c:v>122.41063262195121</c:v>
                </c:pt>
                <c:pt idx="58">
                  <c:v>164</c:v>
                </c:pt>
                <c:pt idx="59">
                  <c:v>273.70636432926824</c:v>
                </c:pt>
                <c:pt idx="60">
                  <c:v>171.57221798780486</c:v>
                </c:pt>
                <c:pt idx="62">
                  <c:v>171.57221798780486</c:v>
                </c:pt>
                <c:pt idx="63">
                  <c:v>50.4</c:v>
                </c:pt>
                <c:pt idx="64">
                  <c:v>78.45</c:v>
                </c:pt>
                <c:pt idx="65">
                  <c:v>44.9</c:v>
                </c:pt>
                <c:pt idx="66">
                  <c:v>42.97</c:v>
                </c:pt>
                <c:pt idx="67">
                  <c:v>106.24</c:v>
                </c:pt>
                <c:pt idx="68">
                  <c:v>290.76048018292681</c:v>
                </c:pt>
                <c:pt idx="69">
                  <c:v>148</c:v>
                </c:pt>
                <c:pt idx="70">
                  <c:v>233.50057164634146</c:v>
                </c:pt>
                <c:pt idx="71">
                  <c:v>148</c:v>
                </c:pt>
                <c:pt idx="72">
                  <c:v>202.26009908536585</c:v>
                </c:pt>
                <c:pt idx="73">
                  <c:v>173.6</c:v>
                </c:pt>
              </c:numCache>
            </c:numRef>
          </c:xVal>
          <c:yVal>
            <c:numRef>
              <c:f>ROPAX!$M$144:$M$217</c:f>
              <c:numCache>
                <c:formatCode>General</c:formatCode>
                <c:ptCount val="74"/>
                <c:pt idx="0">
                  <c:v>13906</c:v>
                </c:pt>
                <c:pt idx="1">
                  <c:v>16324</c:v>
                </c:pt>
                <c:pt idx="2">
                  <c:v>12650</c:v>
                </c:pt>
                <c:pt idx="3">
                  <c:v>18425</c:v>
                </c:pt>
                <c:pt idx="4">
                  <c:v>10193</c:v>
                </c:pt>
                <c:pt idx="5">
                  <c:v>21777</c:v>
                </c:pt>
                <c:pt idx="6">
                  <c:v>5506</c:v>
                </c:pt>
                <c:pt idx="7">
                  <c:v>50938</c:v>
                </c:pt>
                <c:pt idx="8">
                  <c:v>44500</c:v>
                </c:pt>
                <c:pt idx="9">
                  <c:v>8077</c:v>
                </c:pt>
                <c:pt idx="10">
                  <c:v>35966</c:v>
                </c:pt>
                <c:pt idx="11">
                  <c:v>18450</c:v>
                </c:pt>
                <c:pt idx="12">
                  <c:v>23700</c:v>
                </c:pt>
                <c:pt idx="13">
                  <c:v>29415</c:v>
                </c:pt>
                <c:pt idx="14">
                  <c:v>37150</c:v>
                </c:pt>
                <c:pt idx="15">
                  <c:v>59925</c:v>
                </c:pt>
                <c:pt idx="16">
                  <c:v>26995</c:v>
                </c:pt>
                <c:pt idx="17">
                  <c:v>36648</c:v>
                </c:pt>
                <c:pt idx="28">
                  <c:v>22152</c:v>
                </c:pt>
                <c:pt idx="29">
                  <c:v>14000</c:v>
                </c:pt>
                <c:pt idx="30">
                  <c:v>8500</c:v>
                </c:pt>
                <c:pt idx="31">
                  <c:v>30285</c:v>
                </c:pt>
                <c:pt idx="32">
                  <c:v>4072</c:v>
                </c:pt>
                <c:pt idx="33">
                  <c:v>26906</c:v>
                </c:pt>
                <c:pt idx="34">
                  <c:v>18653</c:v>
                </c:pt>
                <c:pt idx="35">
                  <c:v>32534</c:v>
                </c:pt>
                <c:pt idx="36">
                  <c:v>26663</c:v>
                </c:pt>
                <c:pt idx="37">
                  <c:v>14398</c:v>
                </c:pt>
                <c:pt idx="38">
                  <c:v>24727</c:v>
                </c:pt>
                <c:pt idx="39">
                  <c:v>8780</c:v>
                </c:pt>
                <c:pt idx="40">
                  <c:v>20646</c:v>
                </c:pt>
                <c:pt idx="41">
                  <c:v>20124</c:v>
                </c:pt>
                <c:pt idx="42">
                  <c:v>36468</c:v>
                </c:pt>
                <c:pt idx="43">
                  <c:v>33796</c:v>
                </c:pt>
                <c:pt idx="44">
                  <c:v>29841</c:v>
                </c:pt>
                <c:pt idx="45">
                  <c:v>22365</c:v>
                </c:pt>
                <c:pt idx="46">
                  <c:v>32534</c:v>
                </c:pt>
                <c:pt idx="47">
                  <c:v>35700</c:v>
                </c:pt>
                <c:pt idx="48">
                  <c:v>48300</c:v>
                </c:pt>
                <c:pt idx="49">
                  <c:v>24728</c:v>
                </c:pt>
                <c:pt idx="50">
                  <c:v>47592</c:v>
                </c:pt>
                <c:pt idx="51">
                  <c:v>36185</c:v>
                </c:pt>
                <c:pt idx="52">
                  <c:v>8089</c:v>
                </c:pt>
                <c:pt idx="53">
                  <c:v>8127</c:v>
                </c:pt>
                <c:pt idx="55">
                  <c:v>33500</c:v>
                </c:pt>
                <c:pt idx="56">
                  <c:v>97000</c:v>
                </c:pt>
                <c:pt idx="57">
                  <c:v>17851</c:v>
                </c:pt>
                <c:pt idx="58">
                  <c:v>34222</c:v>
                </c:pt>
                <c:pt idx="59">
                  <c:v>99526</c:v>
                </c:pt>
                <c:pt idx="60">
                  <c:v>33796</c:v>
                </c:pt>
                <c:pt idx="61">
                  <c:v>45923</c:v>
                </c:pt>
                <c:pt idx="62">
                  <c:v>33796</c:v>
                </c:pt>
                <c:pt idx="68">
                  <c:v>137276</c:v>
                </c:pt>
                <c:pt idx="69">
                  <c:v>31678</c:v>
                </c:pt>
                <c:pt idx="70">
                  <c:v>66172</c:v>
                </c:pt>
                <c:pt idx="71">
                  <c:v>31678</c:v>
                </c:pt>
                <c:pt idx="72">
                  <c:v>57565</c:v>
                </c:pt>
                <c:pt idx="73">
                  <c:v>26200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FB-4ECA-B808-BA8E4B29E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181144"/>
        <c:axId val="221181536"/>
      </c:scatterChart>
      <c:valAx>
        <c:axId val="221181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181536"/>
        <c:crosses val="autoZero"/>
        <c:crossBetween val="midCat"/>
      </c:valAx>
      <c:valAx>
        <c:axId val="22118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181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passengers(Lbp)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Lpp/passengers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ROPAX!$H$144:$H$217</c:f>
              <c:numCache>
                <c:formatCode>General</c:formatCode>
                <c:ptCount val="74"/>
                <c:pt idx="0">
                  <c:v>114.95</c:v>
                </c:pt>
                <c:pt idx="1">
                  <c:v>127.5</c:v>
                </c:pt>
                <c:pt idx="2">
                  <c:v>123</c:v>
                </c:pt>
                <c:pt idx="3">
                  <c:v>125</c:v>
                </c:pt>
                <c:pt idx="4">
                  <c:v>111.8</c:v>
                </c:pt>
                <c:pt idx="5">
                  <c:v>154</c:v>
                </c:pt>
                <c:pt idx="6">
                  <c:v>91.2</c:v>
                </c:pt>
                <c:pt idx="7">
                  <c:v>192.4</c:v>
                </c:pt>
                <c:pt idx="8">
                  <c:v>161.6</c:v>
                </c:pt>
                <c:pt idx="9">
                  <c:v>98.2</c:v>
                </c:pt>
                <c:pt idx="10">
                  <c:v>152.43</c:v>
                </c:pt>
                <c:pt idx="11">
                  <c:v>179.2</c:v>
                </c:pt>
                <c:pt idx="12">
                  <c:v>159.69999999999999</c:v>
                </c:pt>
                <c:pt idx="13">
                  <c:v>160.47999999999999</c:v>
                </c:pt>
                <c:pt idx="14">
                  <c:v>191.22</c:v>
                </c:pt>
                <c:pt idx="15">
                  <c:v>203.7</c:v>
                </c:pt>
                <c:pt idx="16">
                  <c:v>198</c:v>
                </c:pt>
                <c:pt idx="17">
                  <c:v>175</c:v>
                </c:pt>
                <c:pt idx="18">
                  <c:v>190.5</c:v>
                </c:pt>
                <c:pt idx="19">
                  <c:v>167</c:v>
                </c:pt>
                <c:pt idx="20">
                  <c:v>134</c:v>
                </c:pt>
                <c:pt idx="21">
                  <c:v>157.65</c:v>
                </c:pt>
                <c:pt idx="22">
                  <c:v>166.2</c:v>
                </c:pt>
                <c:pt idx="23">
                  <c:v>148.77000000000001</c:v>
                </c:pt>
                <c:pt idx="24">
                  <c:v>182.39</c:v>
                </c:pt>
                <c:pt idx="25">
                  <c:v>170</c:v>
                </c:pt>
                <c:pt idx="26">
                  <c:v>140</c:v>
                </c:pt>
                <c:pt idx="27">
                  <c:v>118.5</c:v>
                </c:pt>
                <c:pt idx="28">
                  <c:v>168.7</c:v>
                </c:pt>
                <c:pt idx="29">
                  <c:v>117.6</c:v>
                </c:pt>
                <c:pt idx="30">
                  <c:v>123</c:v>
                </c:pt>
                <c:pt idx="31">
                  <c:v>185.6</c:v>
                </c:pt>
                <c:pt idx="32">
                  <c:v>96</c:v>
                </c:pt>
                <c:pt idx="33">
                  <c:v>171</c:v>
                </c:pt>
                <c:pt idx="34">
                  <c:v>141</c:v>
                </c:pt>
                <c:pt idx="35">
                  <c:v>171.3</c:v>
                </c:pt>
                <c:pt idx="36">
                  <c:v>194.8</c:v>
                </c:pt>
                <c:pt idx="37">
                  <c:v>137.30000000000001</c:v>
                </c:pt>
                <c:pt idx="38">
                  <c:v>146</c:v>
                </c:pt>
                <c:pt idx="39">
                  <c:v>104.4</c:v>
                </c:pt>
                <c:pt idx="40">
                  <c:v>148</c:v>
                </c:pt>
                <c:pt idx="41">
                  <c:v>130</c:v>
                </c:pt>
                <c:pt idx="42">
                  <c:v>175</c:v>
                </c:pt>
                <c:pt idx="43">
                  <c:v>170.1</c:v>
                </c:pt>
                <c:pt idx="44">
                  <c:v>170</c:v>
                </c:pt>
                <c:pt idx="45">
                  <c:v>173.5</c:v>
                </c:pt>
                <c:pt idx="46">
                  <c:v>171.3</c:v>
                </c:pt>
                <c:pt idx="47">
                  <c:v>170</c:v>
                </c:pt>
                <c:pt idx="48">
                  <c:v>194.4</c:v>
                </c:pt>
                <c:pt idx="49">
                  <c:v>165</c:v>
                </c:pt>
                <c:pt idx="50">
                  <c:v>197.9</c:v>
                </c:pt>
                <c:pt idx="51">
                  <c:v>185</c:v>
                </c:pt>
                <c:pt idx="52">
                  <c:v>114.8</c:v>
                </c:pt>
                <c:pt idx="53">
                  <c:v>92.4</c:v>
                </c:pt>
                <c:pt idx="54">
                  <c:v>133.99</c:v>
                </c:pt>
                <c:pt idx="55">
                  <c:v>195.6766387195122</c:v>
                </c:pt>
                <c:pt idx="56">
                  <c:v>275.42130335365852</c:v>
                </c:pt>
                <c:pt idx="57">
                  <c:v>122.41063262195121</c:v>
                </c:pt>
                <c:pt idx="58">
                  <c:v>164</c:v>
                </c:pt>
                <c:pt idx="59">
                  <c:v>273.70636432926824</c:v>
                </c:pt>
                <c:pt idx="60">
                  <c:v>171.57221798780486</c:v>
                </c:pt>
                <c:pt idx="62">
                  <c:v>171.57221798780486</c:v>
                </c:pt>
                <c:pt idx="63">
                  <c:v>50.4</c:v>
                </c:pt>
                <c:pt idx="64">
                  <c:v>78.45</c:v>
                </c:pt>
                <c:pt idx="65">
                  <c:v>44.9</c:v>
                </c:pt>
                <c:pt idx="66">
                  <c:v>42.97</c:v>
                </c:pt>
                <c:pt idx="67">
                  <c:v>106.24</c:v>
                </c:pt>
                <c:pt idx="68">
                  <c:v>290.76048018292681</c:v>
                </c:pt>
                <c:pt idx="69">
                  <c:v>148</c:v>
                </c:pt>
                <c:pt idx="70">
                  <c:v>233.50057164634146</c:v>
                </c:pt>
                <c:pt idx="71">
                  <c:v>148</c:v>
                </c:pt>
                <c:pt idx="72">
                  <c:v>202.26009908536585</c:v>
                </c:pt>
                <c:pt idx="73">
                  <c:v>173.6</c:v>
                </c:pt>
              </c:numCache>
            </c:numRef>
          </c:xVal>
          <c:yVal>
            <c:numRef>
              <c:f>ROPAX!$R$144:$R$217</c:f>
              <c:numCache>
                <c:formatCode>General</c:formatCode>
                <c:ptCount val="74"/>
                <c:pt idx="0">
                  <c:v>400</c:v>
                </c:pt>
                <c:pt idx="1">
                  <c:v>568</c:v>
                </c:pt>
                <c:pt idx="2">
                  <c:v>976</c:v>
                </c:pt>
                <c:pt idx="3">
                  <c:v>600</c:v>
                </c:pt>
                <c:pt idx="4">
                  <c:v>1500</c:v>
                </c:pt>
                <c:pt idx="5">
                  <c:v>1650</c:v>
                </c:pt>
                <c:pt idx="6">
                  <c:v>612</c:v>
                </c:pt>
                <c:pt idx="7">
                  <c:v>1944</c:v>
                </c:pt>
                <c:pt idx="8">
                  <c:v>2453</c:v>
                </c:pt>
                <c:pt idx="10">
                  <c:v>1482</c:v>
                </c:pt>
                <c:pt idx="11">
                  <c:v>308</c:v>
                </c:pt>
                <c:pt idx="12">
                  <c:v>1860</c:v>
                </c:pt>
                <c:pt idx="13">
                  <c:v>1600</c:v>
                </c:pt>
                <c:pt idx="14">
                  <c:v>1880</c:v>
                </c:pt>
                <c:pt idx="15">
                  <c:v>1360</c:v>
                </c:pt>
                <c:pt idx="16">
                  <c:v>1000</c:v>
                </c:pt>
                <c:pt idx="17">
                  <c:v>744</c:v>
                </c:pt>
                <c:pt idx="28">
                  <c:v>214</c:v>
                </c:pt>
                <c:pt idx="29">
                  <c:v>500</c:v>
                </c:pt>
                <c:pt idx="30">
                  <c:v>0</c:v>
                </c:pt>
                <c:pt idx="32">
                  <c:v>510</c:v>
                </c:pt>
                <c:pt idx="33">
                  <c:v>350</c:v>
                </c:pt>
                <c:pt idx="34">
                  <c:v>130</c:v>
                </c:pt>
                <c:pt idx="36">
                  <c:v>300</c:v>
                </c:pt>
                <c:pt idx="37">
                  <c:v>125</c:v>
                </c:pt>
                <c:pt idx="38">
                  <c:v>84</c:v>
                </c:pt>
                <c:pt idx="39">
                  <c:v>600</c:v>
                </c:pt>
                <c:pt idx="40">
                  <c:v>410</c:v>
                </c:pt>
                <c:pt idx="41">
                  <c:v>1300</c:v>
                </c:pt>
                <c:pt idx="42">
                  <c:v>800</c:v>
                </c:pt>
                <c:pt idx="43">
                  <c:v>1900</c:v>
                </c:pt>
                <c:pt idx="44">
                  <c:v>454</c:v>
                </c:pt>
                <c:pt idx="45">
                  <c:v>1650</c:v>
                </c:pt>
                <c:pt idx="46">
                  <c:v>90</c:v>
                </c:pt>
                <c:pt idx="47">
                  <c:v>1900</c:v>
                </c:pt>
                <c:pt idx="48">
                  <c:v>2800</c:v>
                </c:pt>
                <c:pt idx="50">
                  <c:v>1750</c:v>
                </c:pt>
                <c:pt idx="51">
                  <c:v>900</c:v>
                </c:pt>
                <c:pt idx="52">
                  <c:v>1350</c:v>
                </c:pt>
                <c:pt idx="53">
                  <c:v>866</c:v>
                </c:pt>
                <c:pt idx="55">
                  <c:v>1929</c:v>
                </c:pt>
                <c:pt idx="56">
                  <c:v>2500</c:v>
                </c:pt>
                <c:pt idx="57">
                  <c:v>1800</c:v>
                </c:pt>
                <c:pt idx="58">
                  <c:v>2038</c:v>
                </c:pt>
                <c:pt idx="59">
                  <c:v>2506</c:v>
                </c:pt>
                <c:pt idx="60">
                  <c:v>1900</c:v>
                </c:pt>
                <c:pt idx="61">
                  <c:v>500</c:v>
                </c:pt>
                <c:pt idx="62">
                  <c:v>1900</c:v>
                </c:pt>
                <c:pt idx="63">
                  <c:v>260</c:v>
                </c:pt>
                <c:pt idx="64">
                  <c:v>150</c:v>
                </c:pt>
                <c:pt idx="65">
                  <c:v>120</c:v>
                </c:pt>
                <c:pt idx="66">
                  <c:v>250</c:v>
                </c:pt>
                <c:pt idx="67">
                  <c:v>117</c:v>
                </c:pt>
                <c:pt idx="68">
                  <c:v>3838</c:v>
                </c:pt>
                <c:pt idx="69">
                  <c:v>1500</c:v>
                </c:pt>
                <c:pt idx="70">
                  <c:v>1250</c:v>
                </c:pt>
                <c:pt idx="71">
                  <c:v>1500</c:v>
                </c:pt>
                <c:pt idx="72">
                  <c:v>2800</c:v>
                </c:pt>
                <c:pt idx="73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37-443D-9E86-A898C782A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747912"/>
        <c:axId val="219256840"/>
      </c:scatterChart>
      <c:valAx>
        <c:axId val="220747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256840"/>
        <c:crosses val="autoZero"/>
        <c:crossBetween val="midCat"/>
      </c:valAx>
      <c:valAx>
        <c:axId val="219256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747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D(DWT)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ROPAX!$C$144:$C$217</c:f>
              <c:numCache>
                <c:formatCode>General</c:formatCode>
                <c:ptCount val="74"/>
                <c:pt idx="0">
                  <c:v>2883</c:v>
                </c:pt>
                <c:pt idx="1">
                  <c:v>3009</c:v>
                </c:pt>
                <c:pt idx="2">
                  <c:v>2652</c:v>
                </c:pt>
                <c:pt idx="3">
                  <c:v>3600</c:v>
                </c:pt>
                <c:pt idx="4">
                  <c:v>1858</c:v>
                </c:pt>
                <c:pt idx="6">
                  <c:v>670</c:v>
                </c:pt>
                <c:pt idx="7">
                  <c:v>9665</c:v>
                </c:pt>
                <c:pt idx="8">
                  <c:v>3400</c:v>
                </c:pt>
                <c:pt idx="9">
                  <c:v>1250</c:v>
                </c:pt>
                <c:pt idx="10">
                  <c:v>5230</c:v>
                </c:pt>
                <c:pt idx="11">
                  <c:v>7100</c:v>
                </c:pt>
                <c:pt idx="12">
                  <c:v>3500</c:v>
                </c:pt>
                <c:pt idx="13">
                  <c:v>4563</c:v>
                </c:pt>
                <c:pt idx="14">
                  <c:v>6300</c:v>
                </c:pt>
                <c:pt idx="15">
                  <c:v>9268</c:v>
                </c:pt>
                <c:pt idx="16">
                  <c:v>6800</c:v>
                </c:pt>
                <c:pt idx="17">
                  <c:v>7200</c:v>
                </c:pt>
                <c:pt idx="18">
                  <c:v>13200</c:v>
                </c:pt>
                <c:pt idx="19">
                  <c:v>10600</c:v>
                </c:pt>
                <c:pt idx="20">
                  <c:v>5800</c:v>
                </c:pt>
                <c:pt idx="21">
                  <c:v>6170</c:v>
                </c:pt>
                <c:pt idx="22">
                  <c:v>9600</c:v>
                </c:pt>
                <c:pt idx="23">
                  <c:v>8050</c:v>
                </c:pt>
                <c:pt idx="24">
                  <c:v>7730</c:v>
                </c:pt>
                <c:pt idx="25">
                  <c:v>6800</c:v>
                </c:pt>
                <c:pt idx="26">
                  <c:v>7200</c:v>
                </c:pt>
                <c:pt idx="27">
                  <c:v>5238</c:v>
                </c:pt>
                <c:pt idx="28">
                  <c:v>7300</c:v>
                </c:pt>
                <c:pt idx="29">
                  <c:v>4504</c:v>
                </c:pt>
                <c:pt idx="30">
                  <c:v>2100</c:v>
                </c:pt>
                <c:pt idx="31">
                  <c:v>6920</c:v>
                </c:pt>
                <c:pt idx="32">
                  <c:v>950</c:v>
                </c:pt>
                <c:pt idx="33">
                  <c:v>6965</c:v>
                </c:pt>
                <c:pt idx="34">
                  <c:v>5024</c:v>
                </c:pt>
                <c:pt idx="35">
                  <c:v>11558</c:v>
                </c:pt>
                <c:pt idx="36">
                  <c:v>10466</c:v>
                </c:pt>
                <c:pt idx="37">
                  <c:v>7324</c:v>
                </c:pt>
                <c:pt idx="38">
                  <c:v>10996</c:v>
                </c:pt>
                <c:pt idx="39">
                  <c:v>1200</c:v>
                </c:pt>
                <c:pt idx="40">
                  <c:v>4275</c:v>
                </c:pt>
                <c:pt idx="41">
                  <c:v>2900</c:v>
                </c:pt>
                <c:pt idx="42">
                  <c:v>6705</c:v>
                </c:pt>
                <c:pt idx="43">
                  <c:v>5700</c:v>
                </c:pt>
                <c:pt idx="44">
                  <c:v>8383</c:v>
                </c:pt>
                <c:pt idx="45">
                  <c:v>5794</c:v>
                </c:pt>
                <c:pt idx="46">
                  <c:v>11682</c:v>
                </c:pt>
                <c:pt idx="47">
                  <c:v>4700</c:v>
                </c:pt>
                <c:pt idx="48">
                  <c:v>4850</c:v>
                </c:pt>
                <c:pt idx="49">
                  <c:v>8900</c:v>
                </c:pt>
                <c:pt idx="50">
                  <c:v>9500</c:v>
                </c:pt>
                <c:pt idx="51">
                  <c:v>7800</c:v>
                </c:pt>
                <c:pt idx="52">
                  <c:v>1000</c:v>
                </c:pt>
                <c:pt idx="53">
                  <c:v>936</c:v>
                </c:pt>
                <c:pt idx="54">
                  <c:v>2402</c:v>
                </c:pt>
                <c:pt idx="57">
                  <c:v>2412</c:v>
                </c:pt>
                <c:pt idx="58">
                  <c:v>7598</c:v>
                </c:pt>
                <c:pt idx="59">
                  <c:v>7900</c:v>
                </c:pt>
                <c:pt idx="60">
                  <c:v>7178</c:v>
                </c:pt>
                <c:pt idx="61">
                  <c:v>9653</c:v>
                </c:pt>
                <c:pt idx="62">
                  <c:v>5700</c:v>
                </c:pt>
                <c:pt idx="63">
                  <c:v>346</c:v>
                </c:pt>
                <c:pt idx="64">
                  <c:v>740</c:v>
                </c:pt>
                <c:pt idx="65">
                  <c:v>254</c:v>
                </c:pt>
                <c:pt idx="66">
                  <c:v>254</c:v>
                </c:pt>
                <c:pt idx="67">
                  <c:v>1738</c:v>
                </c:pt>
                <c:pt idx="68">
                  <c:v>11033</c:v>
                </c:pt>
                <c:pt idx="69">
                  <c:v>3900</c:v>
                </c:pt>
                <c:pt idx="70">
                  <c:v>7662</c:v>
                </c:pt>
                <c:pt idx="71">
                  <c:v>3900</c:v>
                </c:pt>
                <c:pt idx="72">
                  <c:v>6107</c:v>
                </c:pt>
                <c:pt idx="73">
                  <c:v>3000</c:v>
                </c:pt>
              </c:numCache>
            </c:numRef>
          </c:xVal>
          <c:yVal>
            <c:numRef>
              <c:f>ROPAX!$K$144:$K$217</c:f>
              <c:numCache>
                <c:formatCode>General</c:formatCode>
                <c:ptCount val="74"/>
                <c:pt idx="0">
                  <c:v>8.6</c:v>
                </c:pt>
                <c:pt idx="1">
                  <c:v>8.6</c:v>
                </c:pt>
                <c:pt idx="2">
                  <c:v>8.1</c:v>
                </c:pt>
                <c:pt idx="3">
                  <c:v>8.35</c:v>
                </c:pt>
                <c:pt idx="4">
                  <c:v>7.25</c:v>
                </c:pt>
                <c:pt idx="5">
                  <c:v>8.09</c:v>
                </c:pt>
                <c:pt idx="6">
                  <c:v>5.5</c:v>
                </c:pt>
                <c:pt idx="7">
                  <c:v>9.9</c:v>
                </c:pt>
                <c:pt idx="8">
                  <c:v>9.4</c:v>
                </c:pt>
                <c:pt idx="9">
                  <c:v>7</c:v>
                </c:pt>
                <c:pt idx="10">
                  <c:v>9.1</c:v>
                </c:pt>
                <c:pt idx="11">
                  <c:v>8.1999999999999993</c:v>
                </c:pt>
                <c:pt idx="12">
                  <c:v>9.3000000000000007</c:v>
                </c:pt>
                <c:pt idx="13">
                  <c:v>9.4</c:v>
                </c:pt>
                <c:pt idx="14">
                  <c:v>10</c:v>
                </c:pt>
                <c:pt idx="15">
                  <c:v>9.4</c:v>
                </c:pt>
                <c:pt idx="16">
                  <c:v>9.9</c:v>
                </c:pt>
                <c:pt idx="17">
                  <c:v>9.1999999999999993</c:v>
                </c:pt>
                <c:pt idx="18">
                  <c:v>14.3</c:v>
                </c:pt>
                <c:pt idx="19">
                  <c:v>12.6</c:v>
                </c:pt>
                <c:pt idx="20">
                  <c:v>11.8</c:v>
                </c:pt>
                <c:pt idx="21">
                  <c:v>8.6</c:v>
                </c:pt>
                <c:pt idx="22">
                  <c:v>8.5</c:v>
                </c:pt>
                <c:pt idx="23">
                  <c:v>8</c:v>
                </c:pt>
                <c:pt idx="24">
                  <c:v>8.6</c:v>
                </c:pt>
                <c:pt idx="25">
                  <c:v>9</c:v>
                </c:pt>
                <c:pt idx="26">
                  <c:v>8.1</c:v>
                </c:pt>
                <c:pt idx="27">
                  <c:v>7.5</c:v>
                </c:pt>
                <c:pt idx="28">
                  <c:v>8.6999999999999993</c:v>
                </c:pt>
                <c:pt idx="29">
                  <c:v>14.7</c:v>
                </c:pt>
                <c:pt idx="30">
                  <c:v>13.7</c:v>
                </c:pt>
                <c:pt idx="31">
                  <c:v>18.5</c:v>
                </c:pt>
                <c:pt idx="32">
                  <c:v>8.85</c:v>
                </c:pt>
                <c:pt idx="33">
                  <c:v>14.25</c:v>
                </c:pt>
                <c:pt idx="34">
                  <c:v>13.01</c:v>
                </c:pt>
                <c:pt idx="35">
                  <c:v>8.91</c:v>
                </c:pt>
                <c:pt idx="36">
                  <c:v>15.5</c:v>
                </c:pt>
                <c:pt idx="38">
                  <c:v>17.600000000000001</c:v>
                </c:pt>
                <c:pt idx="41">
                  <c:v>14.65</c:v>
                </c:pt>
                <c:pt idx="42">
                  <c:v>9.1999999999999993</c:v>
                </c:pt>
                <c:pt idx="43">
                  <c:v>9.5</c:v>
                </c:pt>
                <c:pt idx="44">
                  <c:v>9</c:v>
                </c:pt>
                <c:pt idx="45">
                  <c:v>8.6</c:v>
                </c:pt>
                <c:pt idx="46">
                  <c:v>8.5</c:v>
                </c:pt>
                <c:pt idx="47">
                  <c:v>9.5</c:v>
                </c:pt>
                <c:pt idx="48">
                  <c:v>9.6999999999999993</c:v>
                </c:pt>
                <c:pt idx="52">
                  <c:v>8.1999999999999993</c:v>
                </c:pt>
                <c:pt idx="53">
                  <c:v>9.4</c:v>
                </c:pt>
                <c:pt idx="54">
                  <c:v>16.3</c:v>
                </c:pt>
                <c:pt idx="58">
                  <c:v>9</c:v>
                </c:pt>
                <c:pt idx="69">
                  <c:v>9.3000000000000007</c:v>
                </c:pt>
                <c:pt idx="71">
                  <c:v>9.3000000000000007</c:v>
                </c:pt>
                <c:pt idx="73">
                  <c:v>8.1999999999999993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79-4422-A1CF-8516BE299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91416"/>
        <c:axId val="221891808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DWT(D)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ROPAX!$K$144:$K$217</c15:sqref>
                        </c15:formulaRef>
                      </c:ext>
                    </c:extLst>
                    <c:numCache>
                      <c:formatCode>General</c:formatCode>
                      <c:ptCount val="74"/>
                      <c:pt idx="0">
                        <c:v>8.6</c:v>
                      </c:pt>
                      <c:pt idx="1">
                        <c:v>8.6</c:v>
                      </c:pt>
                      <c:pt idx="2">
                        <c:v>8.1</c:v>
                      </c:pt>
                      <c:pt idx="3">
                        <c:v>8.35</c:v>
                      </c:pt>
                      <c:pt idx="4">
                        <c:v>7.25</c:v>
                      </c:pt>
                      <c:pt idx="5">
                        <c:v>8.09</c:v>
                      </c:pt>
                      <c:pt idx="6">
                        <c:v>5.5</c:v>
                      </c:pt>
                      <c:pt idx="7">
                        <c:v>9.9</c:v>
                      </c:pt>
                      <c:pt idx="8">
                        <c:v>9.4</c:v>
                      </c:pt>
                      <c:pt idx="9">
                        <c:v>7</c:v>
                      </c:pt>
                      <c:pt idx="10">
                        <c:v>9.1</c:v>
                      </c:pt>
                      <c:pt idx="11">
                        <c:v>8.1999999999999993</c:v>
                      </c:pt>
                      <c:pt idx="12">
                        <c:v>9.3000000000000007</c:v>
                      </c:pt>
                      <c:pt idx="13">
                        <c:v>9.4</c:v>
                      </c:pt>
                      <c:pt idx="14">
                        <c:v>10</c:v>
                      </c:pt>
                      <c:pt idx="15">
                        <c:v>9.4</c:v>
                      </c:pt>
                      <c:pt idx="16">
                        <c:v>9.9</c:v>
                      </c:pt>
                      <c:pt idx="17">
                        <c:v>9.1999999999999993</c:v>
                      </c:pt>
                      <c:pt idx="18">
                        <c:v>14.3</c:v>
                      </c:pt>
                      <c:pt idx="19">
                        <c:v>12.6</c:v>
                      </c:pt>
                      <c:pt idx="20">
                        <c:v>11.8</c:v>
                      </c:pt>
                      <c:pt idx="21">
                        <c:v>8.6</c:v>
                      </c:pt>
                      <c:pt idx="22">
                        <c:v>8.5</c:v>
                      </c:pt>
                      <c:pt idx="23">
                        <c:v>8</c:v>
                      </c:pt>
                      <c:pt idx="24">
                        <c:v>8.6</c:v>
                      </c:pt>
                      <c:pt idx="25">
                        <c:v>9</c:v>
                      </c:pt>
                      <c:pt idx="26">
                        <c:v>8.1</c:v>
                      </c:pt>
                      <c:pt idx="27">
                        <c:v>7.5</c:v>
                      </c:pt>
                      <c:pt idx="28">
                        <c:v>8.6999999999999993</c:v>
                      </c:pt>
                      <c:pt idx="29">
                        <c:v>14.7</c:v>
                      </c:pt>
                      <c:pt idx="30">
                        <c:v>13.7</c:v>
                      </c:pt>
                      <c:pt idx="31">
                        <c:v>18.5</c:v>
                      </c:pt>
                      <c:pt idx="32">
                        <c:v>8.85</c:v>
                      </c:pt>
                      <c:pt idx="33">
                        <c:v>14.25</c:v>
                      </c:pt>
                      <c:pt idx="34">
                        <c:v>13.01</c:v>
                      </c:pt>
                      <c:pt idx="35">
                        <c:v>8.91</c:v>
                      </c:pt>
                      <c:pt idx="36">
                        <c:v>15.5</c:v>
                      </c:pt>
                      <c:pt idx="38">
                        <c:v>17.600000000000001</c:v>
                      </c:pt>
                      <c:pt idx="41">
                        <c:v>14.65</c:v>
                      </c:pt>
                      <c:pt idx="42">
                        <c:v>9.1999999999999993</c:v>
                      </c:pt>
                      <c:pt idx="43">
                        <c:v>9.5</c:v>
                      </c:pt>
                      <c:pt idx="44">
                        <c:v>9</c:v>
                      </c:pt>
                      <c:pt idx="45">
                        <c:v>8.6</c:v>
                      </c:pt>
                      <c:pt idx="46">
                        <c:v>8.5</c:v>
                      </c:pt>
                      <c:pt idx="47">
                        <c:v>9.5</c:v>
                      </c:pt>
                      <c:pt idx="48">
                        <c:v>9.6999999999999993</c:v>
                      </c:pt>
                      <c:pt idx="52">
                        <c:v>8.1999999999999993</c:v>
                      </c:pt>
                      <c:pt idx="53">
                        <c:v>9.4</c:v>
                      </c:pt>
                      <c:pt idx="54">
                        <c:v>16.3</c:v>
                      </c:pt>
                      <c:pt idx="58">
                        <c:v>9</c:v>
                      </c:pt>
                      <c:pt idx="69">
                        <c:v>9.3000000000000007</c:v>
                      </c:pt>
                      <c:pt idx="71">
                        <c:v>9.3000000000000007</c:v>
                      </c:pt>
                      <c:pt idx="73">
                        <c:v>8.1999999999999993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ROPAX!$C$144:$C$217</c15:sqref>
                        </c15:formulaRef>
                      </c:ext>
                    </c:extLst>
                    <c:numCache>
                      <c:formatCode>General</c:formatCode>
                      <c:ptCount val="74"/>
                      <c:pt idx="0">
                        <c:v>2883</c:v>
                      </c:pt>
                      <c:pt idx="1">
                        <c:v>3009</c:v>
                      </c:pt>
                      <c:pt idx="2">
                        <c:v>2652</c:v>
                      </c:pt>
                      <c:pt idx="3">
                        <c:v>3600</c:v>
                      </c:pt>
                      <c:pt idx="4">
                        <c:v>1858</c:v>
                      </c:pt>
                      <c:pt idx="6">
                        <c:v>670</c:v>
                      </c:pt>
                      <c:pt idx="7">
                        <c:v>9665</c:v>
                      </c:pt>
                      <c:pt idx="8">
                        <c:v>3400</c:v>
                      </c:pt>
                      <c:pt idx="9">
                        <c:v>1250</c:v>
                      </c:pt>
                      <c:pt idx="10">
                        <c:v>5230</c:v>
                      </c:pt>
                      <c:pt idx="11">
                        <c:v>7100</c:v>
                      </c:pt>
                      <c:pt idx="12">
                        <c:v>3500</c:v>
                      </c:pt>
                      <c:pt idx="13">
                        <c:v>4563</c:v>
                      </c:pt>
                      <c:pt idx="14">
                        <c:v>6300</c:v>
                      </c:pt>
                      <c:pt idx="15">
                        <c:v>9268</c:v>
                      </c:pt>
                      <c:pt idx="16">
                        <c:v>6800</c:v>
                      </c:pt>
                      <c:pt idx="17">
                        <c:v>7200</c:v>
                      </c:pt>
                      <c:pt idx="18">
                        <c:v>13200</c:v>
                      </c:pt>
                      <c:pt idx="19">
                        <c:v>10600</c:v>
                      </c:pt>
                      <c:pt idx="20">
                        <c:v>5800</c:v>
                      </c:pt>
                      <c:pt idx="21">
                        <c:v>6170</c:v>
                      </c:pt>
                      <c:pt idx="22">
                        <c:v>9600</c:v>
                      </c:pt>
                      <c:pt idx="23">
                        <c:v>8050</c:v>
                      </c:pt>
                      <c:pt idx="24">
                        <c:v>7730</c:v>
                      </c:pt>
                      <c:pt idx="25">
                        <c:v>6800</c:v>
                      </c:pt>
                      <c:pt idx="26">
                        <c:v>7200</c:v>
                      </c:pt>
                      <c:pt idx="27">
                        <c:v>5238</c:v>
                      </c:pt>
                      <c:pt idx="28">
                        <c:v>7300</c:v>
                      </c:pt>
                      <c:pt idx="29">
                        <c:v>4504</c:v>
                      </c:pt>
                      <c:pt idx="30">
                        <c:v>2100</c:v>
                      </c:pt>
                      <c:pt idx="31">
                        <c:v>6920</c:v>
                      </c:pt>
                      <c:pt idx="32">
                        <c:v>950</c:v>
                      </c:pt>
                      <c:pt idx="33">
                        <c:v>6965</c:v>
                      </c:pt>
                      <c:pt idx="34">
                        <c:v>5024</c:v>
                      </c:pt>
                      <c:pt idx="35">
                        <c:v>11558</c:v>
                      </c:pt>
                      <c:pt idx="36">
                        <c:v>10466</c:v>
                      </c:pt>
                      <c:pt idx="37">
                        <c:v>7324</c:v>
                      </c:pt>
                      <c:pt idx="38">
                        <c:v>10996</c:v>
                      </c:pt>
                      <c:pt idx="39">
                        <c:v>1200</c:v>
                      </c:pt>
                      <c:pt idx="40">
                        <c:v>4275</c:v>
                      </c:pt>
                      <c:pt idx="41">
                        <c:v>2900</c:v>
                      </c:pt>
                      <c:pt idx="42">
                        <c:v>6705</c:v>
                      </c:pt>
                      <c:pt idx="43">
                        <c:v>5700</c:v>
                      </c:pt>
                      <c:pt idx="44">
                        <c:v>8383</c:v>
                      </c:pt>
                      <c:pt idx="45">
                        <c:v>5794</c:v>
                      </c:pt>
                      <c:pt idx="46">
                        <c:v>11682</c:v>
                      </c:pt>
                      <c:pt idx="47">
                        <c:v>4700</c:v>
                      </c:pt>
                      <c:pt idx="48">
                        <c:v>4850</c:v>
                      </c:pt>
                      <c:pt idx="49">
                        <c:v>8900</c:v>
                      </c:pt>
                      <c:pt idx="50">
                        <c:v>9500</c:v>
                      </c:pt>
                      <c:pt idx="51">
                        <c:v>7800</c:v>
                      </c:pt>
                      <c:pt idx="52">
                        <c:v>1000</c:v>
                      </c:pt>
                      <c:pt idx="53">
                        <c:v>936</c:v>
                      </c:pt>
                      <c:pt idx="54">
                        <c:v>2402</c:v>
                      </c:pt>
                      <c:pt idx="57">
                        <c:v>2412</c:v>
                      </c:pt>
                      <c:pt idx="58">
                        <c:v>7598</c:v>
                      </c:pt>
                      <c:pt idx="59">
                        <c:v>7900</c:v>
                      </c:pt>
                      <c:pt idx="60">
                        <c:v>7178</c:v>
                      </c:pt>
                      <c:pt idx="61">
                        <c:v>9653</c:v>
                      </c:pt>
                      <c:pt idx="62">
                        <c:v>5700</c:v>
                      </c:pt>
                      <c:pt idx="63">
                        <c:v>346</c:v>
                      </c:pt>
                      <c:pt idx="64">
                        <c:v>740</c:v>
                      </c:pt>
                      <c:pt idx="65">
                        <c:v>254</c:v>
                      </c:pt>
                      <c:pt idx="66">
                        <c:v>254</c:v>
                      </c:pt>
                      <c:pt idx="67">
                        <c:v>1738</c:v>
                      </c:pt>
                      <c:pt idx="68">
                        <c:v>11033</c:v>
                      </c:pt>
                      <c:pt idx="69">
                        <c:v>3900</c:v>
                      </c:pt>
                      <c:pt idx="70">
                        <c:v>7662</c:v>
                      </c:pt>
                      <c:pt idx="71">
                        <c:v>3900</c:v>
                      </c:pt>
                      <c:pt idx="72">
                        <c:v>6107</c:v>
                      </c:pt>
                      <c:pt idx="73">
                        <c:v>3000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F879-4422-A1CF-8516BE2997B6}"/>
                  </c:ext>
                </c:extLst>
              </c15:ser>
            </c15:filteredScatterSeries>
          </c:ext>
        </c:extLst>
      </c:scatterChart>
      <c:valAx>
        <c:axId val="221891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891808"/>
        <c:crosses val="autoZero"/>
        <c:crossBetween val="midCat"/>
      </c:valAx>
      <c:valAx>
        <c:axId val="22189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891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ROPAX!$V$144:$V$217</c:f>
              <c:numCache>
                <c:formatCode>General</c:formatCode>
                <c:ptCount val="74"/>
                <c:pt idx="0">
                  <c:v>8640</c:v>
                </c:pt>
                <c:pt idx="1">
                  <c:v>11600</c:v>
                </c:pt>
                <c:pt idx="2">
                  <c:v>13440</c:v>
                </c:pt>
                <c:pt idx="3">
                  <c:v>18900</c:v>
                </c:pt>
                <c:pt idx="4">
                  <c:v>16560</c:v>
                </c:pt>
                <c:pt idx="5">
                  <c:v>16000</c:v>
                </c:pt>
                <c:pt idx="6">
                  <c:v>7680</c:v>
                </c:pt>
                <c:pt idx="7">
                  <c:v>31200</c:v>
                </c:pt>
                <c:pt idx="8">
                  <c:v>37800</c:v>
                </c:pt>
                <c:pt idx="9">
                  <c:v>16000</c:v>
                </c:pt>
                <c:pt idx="10">
                  <c:v>21600</c:v>
                </c:pt>
                <c:pt idx="11">
                  <c:v>18900</c:v>
                </c:pt>
                <c:pt idx="12">
                  <c:v>46800</c:v>
                </c:pt>
                <c:pt idx="13">
                  <c:v>44480</c:v>
                </c:pt>
                <c:pt idx="14">
                  <c:v>67200</c:v>
                </c:pt>
                <c:pt idx="15">
                  <c:v>37800</c:v>
                </c:pt>
                <c:pt idx="16">
                  <c:v>50400</c:v>
                </c:pt>
                <c:pt idx="17">
                  <c:v>29880</c:v>
                </c:pt>
                <c:pt idx="18">
                  <c:v>15820</c:v>
                </c:pt>
                <c:pt idx="19">
                  <c:v>15785</c:v>
                </c:pt>
                <c:pt idx="20">
                  <c:v>9170</c:v>
                </c:pt>
                <c:pt idx="21">
                  <c:v>24480</c:v>
                </c:pt>
                <c:pt idx="22">
                  <c:v>18918</c:v>
                </c:pt>
                <c:pt idx="23">
                  <c:v>12600</c:v>
                </c:pt>
                <c:pt idx="24">
                  <c:v>16200</c:v>
                </c:pt>
                <c:pt idx="25">
                  <c:v>23040</c:v>
                </c:pt>
                <c:pt idx="26">
                  <c:v>15360</c:v>
                </c:pt>
                <c:pt idx="27">
                  <c:v>8600</c:v>
                </c:pt>
                <c:pt idx="28">
                  <c:v>23760</c:v>
                </c:pt>
                <c:pt idx="29">
                  <c:v>8640</c:v>
                </c:pt>
                <c:pt idx="30">
                  <c:v>13440</c:v>
                </c:pt>
                <c:pt idx="31">
                  <c:v>46080</c:v>
                </c:pt>
                <c:pt idx="33">
                  <c:v>21844</c:v>
                </c:pt>
                <c:pt idx="34">
                  <c:v>12000</c:v>
                </c:pt>
                <c:pt idx="35">
                  <c:v>23040</c:v>
                </c:pt>
                <c:pt idx="36">
                  <c:v>21600</c:v>
                </c:pt>
                <c:pt idx="37">
                  <c:v>11520</c:v>
                </c:pt>
                <c:pt idx="38">
                  <c:v>14400</c:v>
                </c:pt>
                <c:pt idx="39">
                  <c:v>8640</c:v>
                </c:pt>
                <c:pt idx="41">
                  <c:v>33200</c:v>
                </c:pt>
                <c:pt idx="42">
                  <c:v>22000</c:v>
                </c:pt>
                <c:pt idx="43">
                  <c:v>23400</c:v>
                </c:pt>
                <c:pt idx="44">
                  <c:v>23040</c:v>
                </c:pt>
                <c:pt idx="45">
                  <c:v>23040</c:v>
                </c:pt>
                <c:pt idx="46">
                  <c:v>23040</c:v>
                </c:pt>
                <c:pt idx="47">
                  <c:v>48000</c:v>
                </c:pt>
                <c:pt idx="48">
                  <c:v>26240</c:v>
                </c:pt>
                <c:pt idx="49">
                  <c:v>14810</c:v>
                </c:pt>
                <c:pt idx="51">
                  <c:v>25200</c:v>
                </c:pt>
                <c:pt idx="52">
                  <c:v>32800</c:v>
                </c:pt>
                <c:pt idx="53">
                  <c:v>32800</c:v>
                </c:pt>
                <c:pt idx="55">
                  <c:v>38400</c:v>
                </c:pt>
                <c:pt idx="56">
                  <c:v>28000</c:v>
                </c:pt>
                <c:pt idx="57">
                  <c:v>11520</c:v>
                </c:pt>
                <c:pt idx="58">
                  <c:v>16000</c:v>
                </c:pt>
                <c:pt idx="59">
                  <c:v>48000</c:v>
                </c:pt>
                <c:pt idx="60">
                  <c:v>39000</c:v>
                </c:pt>
                <c:pt idx="62">
                  <c:v>39000</c:v>
                </c:pt>
                <c:pt idx="63">
                  <c:v>1765</c:v>
                </c:pt>
                <c:pt idx="64">
                  <c:v>1920</c:v>
                </c:pt>
                <c:pt idx="65">
                  <c:v>1420</c:v>
                </c:pt>
                <c:pt idx="66">
                  <c:v>1420</c:v>
                </c:pt>
                <c:pt idx="67">
                  <c:v>5152</c:v>
                </c:pt>
                <c:pt idx="68">
                  <c:v>75600</c:v>
                </c:pt>
                <c:pt idx="72">
                  <c:v>30400</c:v>
                </c:pt>
                <c:pt idx="73">
                  <c:v>10700</c:v>
                </c:pt>
              </c:numCache>
            </c:numRef>
          </c:xVal>
          <c:yVal>
            <c:numRef>
              <c:f>ROPAX!$I$144:$I$217</c:f>
              <c:numCache>
                <c:formatCode>General</c:formatCode>
                <c:ptCount val="74"/>
                <c:pt idx="0">
                  <c:v>23.4</c:v>
                </c:pt>
                <c:pt idx="1">
                  <c:v>23.4</c:v>
                </c:pt>
                <c:pt idx="2">
                  <c:v>22.7</c:v>
                </c:pt>
                <c:pt idx="3">
                  <c:v>24.3</c:v>
                </c:pt>
                <c:pt idx="4">
                  <c:v>18.899999999999999</c:v>
                </c:pt>
                <c:pt idx="5">
                  <c:v>27.6</c:v>
                </c:pt>
                <c:pt idx="6">
                  <c:v>15.8</c:v>
                </c:pt>
                <c:pt idx="7">
                  <c:v>31.2</c:v>
                </c:pt>
                <c:pt idx="8">
                  <c:v>30.4</c:v>
                </c:pt>
                <c:pt idx="9">
                  <c:v>20</c:v>
                </c:pt>
                <c:pt idx="10">
                  <c:v>30</c:v>
                </c:pt>
                <c:pt idx="11">
                  <c:v>23.4</c:v>
                </c:pt>
                <c:pt idx="12">
                  <c:v>24.8</c:v>
                </c:pt>
                <c:pt idx="13">
                  <c:v>25.7</c:v>
                </c:pt>
                <c:pt idx="14">
                  <c:v>26.4</c:v>
                </c:pt>
                <c:pt idx="15">
                  <c:v>31.5</c:v>
                </c:pt>
                <c:pt idx="16">
                  <c:v>25</c:v>
                </c:pt>
                <c:pt idx="17">
                  <c:v>29.5</c:v>
                </c:pt>
                <c:pt idx="18">
                  <c:v>32.26</c:v>
                </c:pt>
                <c:pt idx="19">
                  <c:v>32.200000000000003</c:v>
                </c:pt>
                <c:pt idx="20">
                  <c:v>25</c:v>
                </c:pt>
                <c:pt idx="21">
                  <c:v>23.4</c:v>
                </c:pt>
                <c:pt idx="22">
                  <c:v>25.2</c:v>
                </c:pt>
                <c:pt idx="23">
                  <c:v>20.6</c:v>
                </c:pt>
                <c:pt idx="24">
                  <c:v>26</c:v>
                </c:pt>
                <c:pt idx="25">
                  <c:v>28.7</c:v>
                </c:pt>
                <c:pt idx="26">
                  <c:v>23.6</c:v>
                </c:pt>
                <c:pt idx="27">
                  <c:v>21</c:v>
                </c:pt>
                <c:pt idx="28">
                  <c:v>25.2</c:v>
                </c:pt>
                <c:pt idx="29">
                  <c:v>23.4</c:v>
                </c:pt>
                <c:pt idx="30">
                  <c:v>22.7</c:v>
                </c:pt>
                <c:pt idx="31">
                  <c:v>25.4</c:v>
                </c:pt>
                <c:pt idx="32">
                  <c:v>16.5</c:v>
                </c:pt>
                <c:pt idx="33">
                  <c:v>26.5</c:v>
                </c:pt>
                <c:pt idx="34">
                  <c:v>21.8</c:v>
                </c:pt>
                <c:pt idx="35">
                  <c:v>28.7</c:v>
                </c:pt>
                <c:pt idx="36">
                  <c:v>31.6</c:v>
                </c:pt>
                <c:pt idx="37">
                  <c:v>23.4</c:v>
                </c:pt>
                <c:pt idx="38">
                  <c:v>25.3</c:v>
                </c:pt>
                <c:pt idx="39">
                  <c:v>18.5</c:v>
                </c:pt>
                <c:pt idx="40">
                  <c:v>25.7</c:v>
                </c:pt>
                <c:pt idx="41">
                  <c:v>24</c:v>
                </c:pt>
                <c:pt idx="42">
                  <c:v>29.5</c:v>
                </c:pt>
                <c:pt idx="43">
                  <c:v>28.3</c:v>
                </c:pt>
                <c:pt idx="44">
                  <c:v>28.7</c:v>
                </c:pt>
                <c:pt idx="45">
                  <c:v>23.9</c:v>
                </c:pt>
                <c:pt idx="46">
                  <c:v>28.7</c:v>
                </c:pt>
                <c:pt idx="47">
                  <c:v>27.7</c:v>
                </c:pt>
                <c:pt idx="48">
                  <c:v>35.200000000000003</c:v>
                </c:pt>
                <c:pt idx="49">
                  <c:v>26.5</c:v>
                </c:pt>
                <c:pt idx="50">
                  <c:v>30.8</c:v>
                </c:pt>
                <c:pt idx="51">
                  <c:v>28.9</c:v>
                </c:pt>
                <c:pt idx="52">
                  <c:v>30.4</c:v>
                </c:pt>
                <c:pt idx="53">
                  <c:v>23.8</c:v>
                </c:pt>
                <c:pt idx="54">
                  <c:v>21.8</c:v>
                </c:pt>
                <c:pt idx="55">
                  <c:v>25.8</c:v>
                </c:pt>
                <c:pt idx="56">
                  <c:v>36</c:v>
                </c:pt>
                <c:pt idx="57">
                  <c:v>24</c:v>
                </c:pt>
                <c:pt idx="58">
                  <c:v>28</c:v>
                </c:pt>
                <c:pt idx="59">
                  <c:v>35.799999999999997</c:v>
                </c:pt>
                <c:pt idx="60">
                  <c:v>27.7</c:v>
                </c:pt>
                <c:pt idx="61">
                  <c:v>0</c:v>
                </c:pt>
                <c:pt idx="62">
                  <c:v>28</c:v>
                </c:pt>
                <c:pt idx="63">
                  <c:v>12.84</c:v>
                </c:pt>
                <c:pt idx="64">
                  <c:v>17.61</c:v>
                </c:pt>
                <c:pt idx="65">
                  <c:v>12.8</c:v>
                </c:pt>
                <c:pt idx="66">
                  <c:v>12.8</c:v>
                </c:pt>
                <c:pt idx="67">
                  <c:v>18.2</c:v>
                </c:pt>
                <c:pt idx="68">
                  <c:v>47.4</c:v>
                </c:pt>
                <c:pt idx="69">
                  <c:v>27.5</c:v>
                </c:pt>
                <c:pt idx="70">
                  <c:v>32.200000000000003</c:v>
                </c:pt>
                <c:pt idx="71">
                  <c:v>27.5</c:v>
                </c:pt>
                <c:pt idx="72">
                  <c:v>32.42</c:v>
                </c:pt>
                <c:pt idx="73">
                  <c:v>24.8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B6-4CF6-8F1A-AB74F7D7C6E9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76200">
                <a:solidFill>
                  <a:srgbClr val="FF0000"/>
                </a:solidFill>
              </a:ln>
              <a:effectLst/>
            </c:spPr>
          </c:marker>
          <c:xVal>
            <c:numRef>
              <c:f>ROPAX!$B$11</c:f>
              <c:numCache>
                <c:formatCode>General</c:formatCode>
                <c:ptCount val="1"/>
                <c:pt idx="0">
                  <c:v>50000</c:v>
                </c:pt>
              </c:numCache>
            </c:numRef>
          </c:xVal>
          <c:yVal>
            <c:numRef>
              <c:f>ROPAX!$B$4</c:f>
              <c:numCache>
                <c:formatCode>General</c:formatCode>
                <c:ptCount val="1"/>
                <c:pt idx="0">
                  <c:v>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8B6-4CF6-8F1A-AB74F7D7C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91416"/>
        <c:axId val="221891808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DWT(D)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ROPAX!$K$144:$K$217</c15:sqref>
                        </c15:formulaRef>
                      </c:ext>
                    </c:extLst>
                    <c:numCache>
                      <c:formatCode>General</c:formatCode>
                      <c:ptCount val="74"/>
                      <c:pt idx="0">
                        <c:v>8.6</c:v>
                      </c:pt>
                      <c:pt idx="1">
                        <c:v>8.6</c:v>
                      </c:pt>
                      <c:pt idx="2">
                        <c:v>8.1</c:v>
                      </c:pt>
                      <c:pt idx="3">
                        <c:v>8.35</c:v>
                      </c:pt>
                      <c:pt idx="4">
                        <c:v>7.25</c:v>
                      </c:pt>
                      <c:pt idx="5">
                        <c:v>8.09</c:v>
                      </c:pt>
                      <c:pt idx="6">
                        <c:v>5.5</c:v>
                      </c:pt>
                      <c:pt idx="7">
                        <c:v>9.9</c:v>
                      </c:pt>
                      <c:pt idx="8">
                        <c:v>9.4</c:v>
                      </c:pt>
                      <c:pt idx="9">
                        <c:v>7</c:v>
                      </c:pt>
                      <c:pt idx="10">
                        <c:v>9.1</c:v>
                      </c:pt>
                      <c:pt idx="11">
                        <c:v>8.1999999999999993</c:v>
                      </c:pt>
                      <c:pt idx="12">
                        <c:v>9.3000000000000007</c:v>
                      </c:pt>
                      <c:pt idx="13">
                        <c:v>9.4</c:v>
                      </c:pt>
                      <c:pt idx="14">
                        <c:v>10</c:v>
                      </c:pt>
                      <c:pt idx="15">
                        <c:v>9.4</c:v>
                      </c:pt>
                      <c:pt idx="16">
                        <c:v>9.9</c:v>
                      </c:pt>
                      <c:pt idx="17">
                        <c:v>9.1999999999999993</c:v>
                      </c:pt>
                      <c:pt idx="18">
                        <c:v>14.3</c:v>
                      </c:pt>
                      <c:pt idx="19">
                        <c:v>12.6</c:v>
                      </c:pt>
                      <c:pt idx="20">
                        <c:v>11.8</c:v>
                      </c:pt>
                      <c:pt idx="21">
                        <c:v>8.6</c:v>
                      </c:pt>
                      <c:pt idx="22">
                        <c:v>8.5</c:v>
                      </c:pt>
                      <c:pt idx="23">
                        <c:v>8</c:v>
                      </c:pt>
                      <c:pt idx="24">
                        <c:v>8.6</c:v>
                      </c:pt>
                      <c:pt idx="25">
                        <c:v>9</c:v>
                      </c:pt>
                      <c:pt idx="26">
                        <c:v>8.1</c:v>
                      </c:pt>
                      <c:pt idx="27">
                        <c:v>7.5</c:v>
                      </c:pt>
                      <c:pt idx="28">
                        <c:v>8.6999999999999993</c:v>
                      </c:pt>
                      <c:pt idx="29">
                        <c:v>14.7</c:v>
                      </c:pt>
                      <c:pt idx="30">
                        <c:v>13.7</c:v>
                      </c:pt>
                      <c:pt idx="31">
                        <c:v>18.5</c:v>
                      </c:pt>
                      <c:pt idx="32">
                        <c:v>8.85</c:v>
                      </c:pt>
                      <c:pt idx="33">
                        <c:v>14.25</c:v>
                      </c:pt>
                      <c:pt idx="34">
                        <c:v>13.01</c:v>
                      </c:pt>
                      <c:pt idx="35">
                        <c:v>8.91</c:v>
                      </c:pt>
                      <c:pt idx="36">
                        <c:v>15.5</c:v>
                      </c:pt>
                      <c:pt idx="38">
                        <c:v>17.600000000000001</c:v>
                      </c:pt>
                      <c:pt idx="41">
                        <c:v>14.65</c:v>
                      </c:pt>
                      <c:pt idx="42">
                        <c:v>9.1999999999999993</c:v>
                      </c:pt>
                      <c:pt idx="43">
                        <c:v>9.5</c:v>
                      </c:pt>
                      <c:pt idx="44">
                        <c:v>9</c:v>
                      </c:pt>
                      <c:pt idx="45">
                        <c:v>8.6</c:v>
                      </c:pt>
                      <c:pt idx="46">
                        <c:v>8.5</c:v>
                      </c:pt>
                      <c:pt idx="47">
                        <c:v>9.5</c:v>
                      </c:pt>
                      <c:pt idx="48">
                        <c:v>9.6999999999999993</c:v>
                      </c:pt>
                      <c:pt idx="52">
                        <c:v>8.1999999999999993</c:v>
                      </c:pt>
                      <c:pt idx="53">
                        <c:v>9.4</c:v>
                      </c:pt>
                      <c:pt idx="54">
                        <c:v>16.3</c:v>
                      </c:pt>
                      <c:pt idx="58">
                        <c:v>9</c:v>
                      </c:pt>
                      <c:pt idx="69">
                        <c:v>9.3000000000000007</c:v>
                      </c:pt>
                      <c:pt idx="71">
                        <c:v>9.3000000000000007</c:v>
                      </c:pt>
                      <c:pt idx="73">
                        <c:v>8.1999999999999993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ROPAX!$C$144:$C$217</c15:sqref>
                        </c15:formulaRef>
                      </c:ext>
                    </c:extLst>
                    <c:numCache>
                      <c:formatCode>General</c:formatCode>
                      <c:ptCount val="74"/>
                      <c:pt idx="0">
                        <c:v>2883</c:v>
                      </c:pt>
                      <c:pt idx="1">
                        <c:v>3009</c:v>
                      </c:pt>
                      <c:pt idx="2">
                        <c:v>2652</c:v>
                      </c:pt>
                      <c:pt idx="3">
                        <c:v>3600</c:v>
                      </c:pt>
                      <c:pt idx="4">
                        <c:v>1858</c:v>
                      </c:pt>
                      <c:pt idx="6">
                        <c:v>670</c:v>
                      </c:pt>
                      <c:pt idx="7">
                        <c:v>9665</c:v>
                      </c:pt>
                      <c:pt idx="8">
                        <c:v>3400</c:v>
                      </c:pt>
                      <c:pt idx="9">
                        <c:v>1250</c:v>
                      </c:pt>
                      <c:pt idx="10">
                        <c:v>5230</c:v>
                      </c:pt>
                      <c:pt idx="11">
                        <c:v>7100</c:v>
                      </c:pt>
                      <c:pt idx="12">
                        <c:v>3500</c:v>
                      </c:pt>
                      <c:pt idx="13">
                        <c:v>4563</c:v>
                      </c:pt>
                      <c:pt idx="14">
                        <c:v>6300</c:v>
                      </c:pt>
                      <c:pt idx="15">
                        <c:v>9268</c:v>
                      </c:pt>
                      <c:pt idx="16">
                        <c:v>6800</c:v>
                      </c:pt>
                      <c:pt idx="17">
                        <c:v>7200</c:v>
                      </c:pt>
                      <c:pt idx="18">
                        <c:v>13200</c:v>
                      </c:pt>
                      <c:pt idx="19">
                        <c:v>10600</c:v>
                      </c:pt>
                      <c:pt idx="20">
                        <c:v>5800</c:v>
                      </c:pt>
                      <c:pt idx="21">
                        <c:v>6170</c:v>
                      </c:pt>
                      <c:pt idx="22">
                        <c:v>9600</c:v>
                      </c:pt>
                      <c:pt idx="23">
                        <c:v>8050</c:v>
                      </c:pt>
                      <c:pt idx="24">
                        <c:v>7730</c:v>
                      </c:pt>
                      <c:pt idx="25">
                        <c:v>6800</c:v>
                      </c:pt>
                      <c:pt idx="26">
                        <c:v>7200</c:v>
                      </c:pt>
                      <c:pt idx="27">
                        <c:v>5238</c:v>
                      </c:pt>
                      <c:pt idx="28">
                        <c:v>7300</c:v>
                      </c:pt>
                      <c:pt idx="29">
                        <c:v>4504</c:v>
                      </c:pt>
                      <c:pt idx="30">
                        <c:v>2100</c:v>
                      </c:pt>
                      <c:pt idx="31">
                        <c:v>6920</c:v>
                      </c:pt>
                      <c:pt idx="32">
                        <c:v>950</c:v>
                      </c:pt>
                      <c:pt idx="33">
                        <c:v>6965</c:v>
                      </c:pt>
                      <c:pt idx="34">
                        <c:v>5024</c:v>
                      </c:pt>
                      <c:pt idx="35">
                        <c:v>11558</c:v>
                      </c:pt>
                      <c:pt idx="36">
                        <c:v>10466</c:v>
                      </c:pt>
                      <c:pt idx="37">
                        <c:v>7324</c:v>
                      </c:pt>
                      <c:pt idx="38">
                        <c:v>10996</c:v>
                      </c:pt>
                      <c:pt idx="39">
                        <c:v>1200</c:v>
                      </c:pt>
                      <c:pt idx="40">
                        <c:v>4275</c:v>
                      </c:pt>
                      <c:pt idx="41">
                        <c:v>2900</c:v>
                      </c:pt>
                      <c:pt idx="42">
                        <c:v>6705</c:v>
                      </c:pt>
                      <c:pt idx="43">
                        <c:v>5700</c:v>
                      </c:pt>
                      <c:pt idx="44">
                        <c:v>8383</c:v>
                      </c:pt>
                      <c:pt idx="45">
                        <c:v>5794</c:v>
                      </c:pt>
                      <c:pt idx="46">
                        <c:v>11682</c:v>
                      </c:pt>
                      <c:pt idx="47">
                        <c:v>4700</c:v>
                      </c:pt>
                      <c:pt idx="48">
                        <c:v>4850</c:v>
                      </c:pt>
                      <c:pt idx="49">
                        <c:v>8900</c:v>
                      </c:pt>
                      <c:pt idx="50">
                        <c:v>9500</c:v>
                      </c:pt>
                      <c:pt idx="51">
                        <c:v>7800</c:v>
                      </c:pt>
                      <c:pt idx="52">
                        <c:v>1000</c:v>
                      </c:pt>
                      <c:pt idx="53">
                        <c:v>936</c:v>
                      </c:pt>
                      <c:pt idx="54">
                        <c:v>2402</c:v>
                      </c:pt>
                      <c:pt idx="57">
                        <c:v>2412</c:v>
                      </c:pt>
                      <c:pt idx="58">
                        <c:v>7598</c:v>
                      </c:pt>
                      <c:pt idx="59">
                        <c:v>7900</c:v>
                      </c:pt>
                      <c:pt idx="60">
                        <c:v>7178</c:v>
                      </c:pt>
                      <c:pt idx="61">
                        <c:v>9653</c:v>
                      </c:pt>
                      <c:pt idx="62">
                        <c:v>5700</c:v>
                      </c:pt>
                      <c:pt idx="63">
                        <c:v>346</c:v>
                      </c:pt>
                      <c:pt idx="64">
                        <c:v>740</c:v>
                      </c:pt>
                      <c:pt idx="65">
                        <c:v>254</c:v>
                      </c:pt>
                      <c:pt idx="66">
                        <c:v>254</c:v>
                      </c:pt>
                      <c:pt idx="67">
                        <c:v>1738</c:v>
                      </c:pt>
                      <c:pt idx="68">
                        <c:v>11033</c:v>
                      </c:pt>
                      <c:pt idx="69">
                        <c:v>3900</c:v>
                      </c:pt>
                      <c:pt idx="70">
                        <c:v>7662</c:v>
                      </c:pt>
                      <c:pt idx="71">
                        <c:v>3900</c:v>
                      </c:pt>
                      <c:pt idx="72">
                        <c:v>6107</c:v>
                      </c:pt>
                      <c:pt idx="73">
                        <c:v>3000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F8B6-4CF6-8F1A-AB74F7D7C6E9}"/>
                  </c:ext>
                </c:extLst>
              </c15:ser>
            </c15:filteredScatterSeries>
          </c:ext>
        </c:extLst>
      </c:scatterChart>
      <c:valAx>
        <c:axId val="221891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Pwoer (W)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891808"/>
        <c:crosses val="autoZero"/>
        <c:crossBetween val="midCat"/>
      </c:valAx>
      <c:valAx>
        <c:axId val="22189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Breadth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891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0"/>
          </c:trendline>
          <c:xVal>
            <c:numRef>
              <c:f>Cruise!$I$104:$I$342</c:f>
              <c:numCache>
                <c:formatCode>General</c:formatCode>
                <c:ptCount val="239"/>
                <c:pt idx="0">
                  <c:v>339</c:v>
                </c:pt>
                <c:pt idx="1">
                  <c:v>362</c:v>
                </c:pt>
                <c:pt idx="2">
                  <c:v>310</c:v>
                </c:pt>
                <c:pt idx="3">
                  <c:v>253.3</c:v>
                </c:pt>
                <c:pt idx="4">
                  <c:v>362</c:v>
                </c:pt>
                <c:pt idx="5">
                  <c:v>362</c:v>
                </c:pt>
                <c:pt idx="6">
                  <c:v>348</c:v>
                </c:pt>
                <c:pt idx="7">
                  <c:v>181</c:v>
                </c:pt>
                <c:pt idx="8">
                  <c:v>290</c:v>
                </c:pt>
                <c:pt idx="9">
                  <c:v>306</c:v>
                </c:pt>
                <c:pt idx="10">
                  <c:v>290</c:v>
                </c:pt>
                <c:pt idx="11">
                  <c:v>272</c:v>
                </c:pt>
                <c:pt idx="12">
                  <c:v>306</c:v>
                </c:pt>
                <c:pt idx="13">
                  <c:v>308</c:v>
                </c:pt>
                <c:pt idx="14">
                  <c:v>260.60000000000002</c:v>
                </c:pt>
                <c:pt idx="15">
                  <c:v>290</c:v>
                </c:pt>
                <c:pt idx="16">
                  <c:v>292.5</c:v>
                </c:pt>
                <c:pt idx="17">
                  <c:v>306</c:v>
                </c:pt>
                <c:pt idx="18">
                  <c:v>305</c:v>
                </c:pt>
                <c:pt idx="19">
                  <c:v>324</c:v>
                </c:pt>
                <c:pt idx="20">
                  <c:v>246</c:v>
                </c:pt>
                <c:pt idx="21">
                  <c:v>263.89999999999998</c:v>
                </c:pt>
                <c:pt idx="22">
                  <c:v>319</c:v>
                </c:pt>
                <c:pt idx="23">
                  <c:v>315</c:v>
                </c:pt>
                <c:pt idx="24">
                  <c:v>319</c:v>
                </c:pt>
                <c:pt idx="25">
                  <c:v>315</c:v>
                </c:pt>
                <c:pt idx="26">
                  <c:v>319</c:v>
                </c:pt>
                <c:pt idx="27">
                  <c:v>88.5</c:v>
                </c:pt>
                <c:pt idx="28">
                  <c:v>191</c:v>
                </c:pt>
                <c:pt idx="29">
                  <c:v>100.01</c:v>
                </c:pt>
                <c:pt idx="30">
                  <c:v>104</c:v>
                </c:pt>
                <c:pt idx="31">
                  <c:v>104</c:v>
                </c:pt>
                <c:pt idx="32">
                  <c:v>90.220800000000011</c:v>
                </c:pt>
                <c:pt idx="33">
                  <c:v>223.7</c:v>
                </c:pt>
                <c:pt idx="34">
                  <c:v>294</c:v>
                </c:pt>
                <c:pt idx="35">
                  <c:v>91</c:v>
                </c:pt>
                <c:pt idx="36">
                  <c:v>250</c:v>
                </c:pt>
                <c:pt idx="37">
                  <c:v>250</c:v>
                </c:pt>
                <c:pt idx="38">
                  <c:v>238</c:v>
                </c:pt>
                <c:pt idx="39">
                  <c:v>261.3</c:v>
                </c:pt>
                <c:pt idx="40">
                  <c:v>290</c:v>
                </c:pt>
                <c:pt idx="41">
                  <c:v>340</c:v>
                </c:pt>
                <c:pt idx="42">
                  <c:v>340</c:v>
                </c:pt>
                <c:pt idx="43">
                  <c:v>340</c:v>
                </c:pt>
                <c:pt idx="44">
                  <c:v>88.3</c:v>
                </c:pt>
                <c:pt idx="45">
                  <c:v>290</c:v>
                </c:pt>
                <c:pt idx="46">
                  <c:v>301.8</c:v>
                </c:pt>
                <c:pt idx="47">
                  <c:v>218.8</c:v>
                </c:pt>
                <c:pt idx="48">
                  <c:v>310</c:v>
                </c:pt>
                <c:pt idx="49">
                  <c:v>311</c:v>
                </c:pt>
                <c:pt idx="50">
                  <c:v>188.3</c:v>
                </c:pt>
                <c:pt idx="51">
                  <c:v>216.8</c:v>
                </c:pt>
                <c:pt idx="52">
                  <c:v>339</c:v>
                </c:pt>
                <c:pt idx="53">
                  <c:v>89.35</c:v>
                </c:pt>
                <c:pt idx="54">
                  <c:v>212.1</c:v>
                </c:pt>
                <c:pt idx="55">
                  <c:v>335.3</c:v>
                </c:pt>
                <c:pt idx="56">
                  <c:v>362.12</c:v>
                </c:pt>
                <c:pt idx="57">
                  <c:v>333.33</c:v>
                </c:pt>
                <c:pt idx="58">
                  <c:v>108.2</c:v>
                </c:pt>
                <c:pt idx="59">
                  <c:v>339</c:v>
                </c:pt>
                <c:pt idx="60">
                  <c:v>339</c:v>
                </c:pt>
                <c:pt idx="61">
                  <c:v>208.48320000000001</c:v>
                </c:pt>
                <c:pt idx="62">
                  <c:v>171.2</c:v>
                </c:pt>
                <c:pt idx="63">
                  <c:v>90</c:v>
                </c:pt>
                <c:pt idx="64">
                  <c:v>293.2</c:v>
                </c:pt>
                <c:pt idx="65">
                  <c:v>297</c:v>
                </c:pt>
                <c:pt idx="66">
                  <c:v>142</c:v>
                </c:pt>
                <c:pt idx="67">
                  <c:v>100</c:v>
                </c:pt>
                <c:pt idx="68">
                  <c:v>339</c:v>
                </c:pt>
                <c:pt idx="69">
                  <c:v>339</c:v>
                </c:pt>
                <c:pt idx="70">
                  <c:v>330</c:v>
                </c:pt>
                <c:pt idx="71">
                  <c:v>268.2</c:v>
                </c:pt>
                <c:pt idx="72">
                  <c:v>251</c:v>
                </c:pt>
                <c:pt idx="73">
                  <c:v>216</c:v>
                </c:pt>
                <c:pt idx="74">
                  <c:v>310</c:v>
                </c:pt>
                <c:pt idx="75">
                  <c:v>296</c:v>
                </c:pt>
                <c:pt idx="76">
                  <c:v>315.8</c:v>
                </c:pt>
                <c:pt idx="77">
                  <c:v>111</c:v>
                </c:pt>
                <c:pt idx="78">
                  <c:v>200</c:v>
                </c:pt>
                <c:pt idx="79">
                  <c:v>122.8</c:v>
                </c:pt>
                <c:pt idx="80">
                  <c:v>333</c:v>
                </c:pt>
                <c:pt idx="81">
                  <c:v>333</c:v>
                </c:pt>
                <c:pt idx="82">
                  <c:v>333</c:v>
                </c:pt>
                <c:pt idx="83">
                  <c:v>333</c:v>
                </c:pt>
                <c:pt idx="84">
                  <c:v>333</c:v>
                </c:pt>
                <c:pt idx="85">
                  <c:v>333</c:v>
                </c:pt>
                <c:pt idx="86">
                  <c:v>333</c:v>
                </c:pt>
                <c:pt idx="87">
                  <c:v>135</c:v>
                </c:pt>
                <c:pt idx="88">
                  <c:v>112</c:v>
                </c:pt>
                <c:pt idx="89">
                  <c:v>181</c:v>
                </c:pt>
                <c:pt idx="90">
                  <c:v>170.69</c:v>
                </c:pt>
                <c:pt idx="91">
                  <c:v>310</c:v>
                </c:pt>
                <c:pt idx="92">
                  <c:v>154.4</c:v>
                </c:pt>
                <c:pt idx="93">
                  <c:v>324</c:v>
                </c:pt>
                <c:pt idx="94">
                  <c:v>325</c:v>
                </c:pt>
                <c:pt idx="95">
                  <c:v>329</c:v>
                </c:pt>
                <c:pt idx="96">
                  <c:v>325.89999999999998</c:v>
                </c:pt>
                <c:pt idx="97">
                  <c:v>325.7</c:v>
                </c:pt>
                <c:pt idx="98">
                  <c:v>333.5</c:v>
                </c:pt>
                <c:pt idx="99">
                  <c:v>124.19</c:v>
                </c:pt>
                <c:pt idx="100">
                  <c:v>198.19</c:v>
                </c:pt>
                <c:pt idx="101">
                  <c:v>102.7</c:v>
                </c:pt>
                <c:pt idx="102">
                  <c:v>347.77680000000004</c:v>
                </c:pt>
                <c:pt idx="103">
                  <c:v>294</c:v>
                </c:pt>
                <c:pt idx="104">
                  <c:v>294</c:v>
                </c:pt>
                <c:pt idx="105">
                  <c:v>345</c:v>
                </c:pt>
                <c:pt idx="106">
                  <c:v>294</c:v>
                </c:pt>
                <c:pt idx="107">
                  <c:v>198</c:v>
                </c:pt>
                <c:pt idx="108">
                  <c:v>330</c:v>
                </c:pt>
                <c:pt idx="109">
                  <c:v>181</c:v>
                </c:pt>
                <c:pt idx="110">
                  <c:v>251</c:v>
                </c:pt>
                <c:pt idx="111">
                  <c:v>136.12</c:v>
                </c:pt>
                <c:pt idx="112">
                  <c:v>330</c:v>
                </c:pt>
                <c:pt idx="113">
                  <c:v>181</c:v>
                </c:pt>
                <c:pt idx="114">
                  <c:v>329</c:v>
                </c:pt>
                <c:pt idx="115">
                  <c:v>154.41</c:v>
                </c:pt>
                <c:pt idx="116">
                  <c:v>135</c:v>
                </c:pt>
                <c:pt idx="117">
                  <c:v>198</c:v>
                </c:pt>
                <c:pt idx="118">
                  <c:v>134.1</c:v>
                </c:pt>
                <c:pt idx="119">
                  <c:v>104.81</c:v>
                </c:pt>
                <c:pt idx="120">
                  <c:v>224</c:v>
                </c:pt>
                <c:pt idx="121">
                  <c:v>170.6</c:v>
                </c:pt>
                <c:pt idx="122">
                  <c:v>204.1</c:v>
                </c:pt>
                <c:pt idx="123">
                  <c:v>232.86720000000003</c:v>
                </c:pt>
                <c:pt idx="124">
                  <c:v>202</c:v>
                </c:pt>
                <c:pt idx="125">
                  <c:v>203.03</c:v>
                </c:pt>
                <c:pt idx="126">
                  <c:v>108</c:v>
                </c:pt>
                <c:pt idx="127">
                  <c:v>196</c:v>
                </c:pt>
                <c:pt idx="128">
                  <c:v>198</c:v>
                </c:pt>
                <c:pt idx="129">
                  <c:v>329.18400000000003</c:v>
                </c:pt>
                <c:pt idx="130">
                  <c:v>90</c:v>
                </c:pt>
                <c:pt idx="131">
                  <c:v>264.2</c:v>
                </c:pt>
                <c:pt idx="132">
                  <c:v>268.60000000000002</c:v>
                </c:pt>
                <c:pt idx="133">
                  <c:v>194</c:v>
                </c:pt>
                <c:pt idx="134">
                  <c:v>228.2</c:v>
                </c:pt>
                <c:pt idx="135">
                  <c:v>228</c:v>
                </c:pt>
                <c:pt idx="136">
                  <c:v>279</c:v>
                </c:pt>
                <c:pt idx="137">
                  <c:v>206.5</c:v>
                </c:pt>
                <c:pt idx="138">
                  <c:v>310</c:v>
                </c:pt>
                <c:pt idx="139">
                  <c:v>232.86720000000003</c:v>
                </c:pt>
                <c:pt idx="140">
                  <c:v>90.220800000000011</c:v>
                </c:pt>
                <c:pt idx="141">
                  <c:v>186.02</c:v>
                </c:pt>
              </c:numCache>
            </c:numRef>
          </c:xVal>
          <c:yVal>
            <c:numRef>
              <c:f>Cruise!$L$104:$L$342</c:f>
              <c:numCache>
                <c:formatCode>General</c:formatCode>
                <c:ptCount val="239"/>
                <c:pt idx="0">
                  <c:v>8.5299999999999994</c:v>
                </c:pt>
                <c:pt idx="1">
                  <c:v>9.3000000000000007</c:v>
                </c:pt>
                <c:pt idx="2">
                  <c:v>8.6</c:v>
                </c:pt>
                <c:pt idx="3">
                  <c:v>7.3</c:v>
                </c:pt>
                <c:pt idx="4">
                  <c:v>9.3000000000000007</c:v>
                </c:pt>
                <c:pt idx="5">
                  <c:v>9.3000000000000007</c:v>
                </c:pt>
                <c:pt idx="6">
                  <c:v>8.8000000000000007</c:v>
                </c:pt>
                <c:pt idx="7">
                  <c:v>5.8</c:v>
                </c:pt>
                <c:pt idx="8">
                  <c:v>8</c:v>
                </c:pt>
                <c:pt idx="9">
                  <c:v>8.1999999999999993</c:v>
                </c:pt>
                <c:pt idx="10">
                  <c:v>8.1999999999999993</c:v>
                </c:pt>
                <c:pt idx="11">
                  <c:v>8.1999999999999993</c:v>
                </c:pt>
                <c:pt idx="13">
                  <c:v>8.1999999999999993</c:v>
                </c:pt>
                <c:pt idx="14">
                  <c:v>7.9</c:v>
                </c:pt>
                <c:pt idx="15">
                  <c:v>8.3000000000000007</c:v>
                </c:pt>
                <c:pt idx="16">
                  <c:v>7.8</c:v>
                </c:pt>
                <c:pt idx="17">
                  <c:v>8.3000000000000007</c:v>
                </c:pt>
                <c:pt idx="18">
                  <c:v>8.4</c:v>
                </c:pt>
                <c:pt idx="19">
                  <c:v>8.1999999999999993</c:v>
                </c:pt>
                <c:pt idx="20">
                  <c:v>7.5</c:v>
                </c:pt>
                <c:pt idx="21">
                  <c:v>7.7</c:v>
                </c:pt>
                <c:pt idx="22">
                  <c:v>8.6</c:v>
                </c:pt>
                <c:pt idx="23">
                  <c:v>8.1999999999999993</c:v>
                </c:pt>
                <c:pt idx="24">
                  <c:v>8.6</c:v>
                </c:pt>
                <c:pt idx="26">
                  <c:v>8.6</c:v>
                </c:pt>
                <c:pt idx="27">
                  <c:v>3.52</c:v>
                </c:pt>
                <c:pt idx="28">
                  <c:v>6.6</c:v>
                </c:pt>
                <c:pt idx="29">
                  <c:v>4.6500000000000004</c:v>
                </c:pt>
                <c:pt idx="30">
                  <c:v>4.5</c:v>
                </c:pt>
                <c:pt idx="31">
                  <c:v>4.5</c:v>
                </c:pt>
                <c:pt idx="32">
                  <c:v>5.3</c:v>
                </c:pt>
                <c:pt idx="33">
                  <c:v>6.8</c:v>
                </c:pt>
                <c:pt idx="34">
                  <c:v>7.9</c:v>
                </c:pt>
                <c:pt idx="35">
                  <c:v>4.2</c:v>
                </c:pt>
                <c:pt idx="36">
                  <c:v>7.5</c:v>
                </c:pt>
                <c:pt idx="37">
                  <c:v>7.5</c:v>
                </c:pt>
                <c:pt idx="38">
                  <c:v>8</c:v>
                </c:pt>
                <c:pt idx="39">
                  <c:v>8.1</c:v>
                </c:pt>
                <c:pt idx="40">
                  <c:v>8.0500000000000007</c:v>
                </c:pt>
                <c:pt idx="41">
                  <c:v>7.9</c:v>
                </c:pt>
                <c:pt idx="42">
                  <c:v>8.6999999999999993</c:v>
                </c:pt>
                <c:pt idx="43">
                  <c:v>8.6</c:v>
                </c:pt>
                <c:pt idx="44">
                  <c:v>3.65</c:v>
                </c:pt>
                <c:pt idx="45">
                  <c:v>8</c:v>
                </c:pt>
                <c:pt idx="46">
                  <c:v>7.6</c:v>
                </c:pt>
                <c:pt idx="47">
                  <c:v>7</c:v>
                </c:pt>
                <c:pt idx="48">
                  <c:v>8.3000000000000007</c:v>
                </c:pt>
                <c:pt idx="49">
                  <c:v>8.8000000000000007</c:v>
                </c:pt>
                <c:pt idx="50">
                  <c:v>6.5</c:v>
                </c:pt>
                <c:pt idx="51">
                  <c:v>7</c:v>
                </c:pt>
                <c:pt idx="52">
                  <c:v>8.5</c:v>
                </c:pt>
                <c:pt idx="53">
                  <c:v>3.65</c:v>
                </c:pt>
                <c:pt idx="54">
                  <c:v>6.3</c:v>
                </c:pt>
                <c:pt idx="55">
                  <c:v>8.3000000000000007</c:v>
                </c:pt>
                <c:pt idx="56">
                  <c:v>9.3000000000000007</c:v>
                </c:pt>
                <c:pt idx="57">
                  <c:v>8.2899999999999991</c:v>
                </c:pt>
                <c:pt idx="58">
                  <c:v>4.5</c:v>
                </c:pt>
                <c:pt idx="59">
                  <c:v>8.8000000000000007</c:v>
                </c:pt>
                <c:pt idx="60">
                  <c:v>8.6999999999999993</c:v>
                </c:pt>
                <c:pt idx="62">
                  <c:v>6.25</c:v>
                </c:pt>
                <c:pt idx="63">
                  <c:v>4.2</c:v>
                </c:pt>
                <c:pt idx="64">
                  <c:v>8.5</c:v>
                </c:pt>
                <c:pt idx="65">
                  <c:v>7.95</c:v>
                </c:pt>
                <c:pt idx="66">
                  <c:v>4.7</c:v>
                </c:pt>
                <c:pt idx="67">
                  <c:v>3.22</c:v>
                </c:pt>
                <c:pt idx="68">
                  <c:v>8.5299999999999994</c:v>
                </c:pt>
                <c:pt idx="69">
                  <c:v>8.6999999999999993</c:v>
                </c:pt>
                <c:pt idx="70">
                  <c:v>8.4</c:v>
                </c:pt>
                <c:pt idx="71">
                  <c:v>7.6</c:v>
                </c:pt>
                <c:pt idx="72">
                  <c:v>7.32</c:v>
                </c:pt>
                <c:pt idx="73">
                  <c:v>6.4</c:v>
                </c:pt>
                <c:pt idx="74">
                  <c:v>9</c:v>
                </c:pt>
                <c:pt idx="75">
                  <c:v>8</c:v>
                </c:pt>
                <c:pt idx="76">
                  <c:v>8.75</c:v>
                </c:pt>
                <c:pt idx="77">
                  <c:v>4.8</c:v>
                </c:pt>
                <c:pt idx="78">
                  <c:v>6.5</c:v>
                </c:pt>
                <c:pt idx="79">
                  <c:v>4.91</c:v>
                </c:pt>
                <c:pt idx="80">
                  <c:v>8.2899999999999991</c:v>
                </c:pt>
                <c:pt idx="81">
                  <c:v>8.6</c:v>
                </c:pt>
                <c:pt idx="82">
                  <c:v>8.65</c:v>
                </c:pt>
                <c:pt idx="83">
                  <c:v>8.2899999999999991</c:v>
                </c:pt>
                <c:pt idx="84">
                  <c:v>8.6</c:v>
                </c:pt>
                <c:pt idx="85">
                  <c:v>8.2899999999999991</c:v>
                </c:pt>
                <c:pt idx="86">
                  <c:v>8.2899999999999991</c:v>
                </c:pt>
                <c:pt idx="87">
                  <c:v>5.2</c:v>
                </c:pt>
                <c:pt idx="88">
                  <c:v>4.7</c:v>
                </c:pt>
                <c:pt idx="89">
                  <c:v>5.95</c:v>
                </c:pt>
                <c:pt idx="90">
                  <c:v>7.3</c:v>
                </c:pt>
                <c:pt idx="91">
                  <c:v>8.6</c:v>
                </c:pt>
                <c:pt idx="92">
                  <c:v>5.82</c:v>
                </c:pt>
                <c:pt idx="93">
                  <c:v>8.3000000000000007</c:v>
                </c:pt>
                <c:pt idx="94">
                  <c:v>8.3000000000000007</c:v>
                </c:pt>
                <c:pt idx="95">
                  <c:v>8.6999999999999993</c:v>
                </c:pt>
                <c:pt idx="96">
                  <c:v>8.6</c:v>
                </c:pt>
                <c:pt idx="97">
                  <c:v>8.4</c:v>
                </c:pt>
                <c:pt idx="98">
                  <c:v>8.7200000000000006</c:v>
                </c:pt>
                <c:pt idx="99">
                  <c:v>4.8</c:v>
                </c:pt>
                <c:pt idx="100">
                  <c:v>6.4</c:v>
                </c:pt>
                <c:pt idx="101">
                  <c:v>3.82</c:v>
                </c:pt>
                <c:pt idx="102">
                  <c:v>8.5</c:v>
                </c:pt>
                <c:pt idx="105">
                  <c:v>9.9499999999999993</c:v>
                </c:pt>
                <c:pt idx="107">
                  <c:v>6.5</c:v>
                </c:pt>
                <c:pt idx="108">
                  <c:v>8.5</c:v>
                </c:pt>
                <c:pt idx="109">
                  <c:v>5.95</c:v>
                </c:pt>
                <c:pt idx="110">
                  <c:v>7.32</c:v>
                </c:pt>
                <c:pt idx="111">
                  <c:v>5.4</c:v>
                </c:pt>
                <c:pt idx="112">
                  <c:v>8.5299999999999994</c:v>
                </c:pt>
                <c:pt idx="113">
                  <c:v>6</c:v>
                </c:pt>
                <c:pt idx="114">
                  <c:v>8.5</c:v>
                </c:pt>
                <c:pt idx="115">
                  <c:v>5.0199999999999996</c:v>
                </c:pt>
                <c:pt idx="116">
                  <c:v>5</c:v>
                </c:pt>
                <c:pt idx="117">
                  <c:v>6.4</c:v>
                </c:pt>
                <c:pt idx="118">
                  <c:v>5.15</c:v>
                </c:pt>
                <c:pt idx="119">
                  <c:v>4.17</c:v>
                </c:pt>
                <c:pt idx="120">
                  <c:v>7.1</c:v>
                </c:pt>
                <c:pt idx="121">
                  <c:v>6.8</c:v>
                </c:pt>
                <c:pt idx="122">
                  <c:v>7.1</c:v>
                </c:pt>
                <c:pt idx="123" formatCode="0.00">
                  <c:v>6</c:v>
                </c:pt>
                <c:pt idx="124">
                  <c:v>6.8</c:v>
                </c:pt>
                <c:pt idx="125">
                  <c:v>7.1</c:v>
                </c:pt>
                <c:pt idx="126">
                  <c:v>4.38</c:v>
                </c:pt>
                <c:pt idx="128">
                  <c:v>6.4</c:v>
                </c:pt>
                <c:pt idx="130">
                  <c:v>4</c:v>
                </c:pt>
                <c:pt idx="131">
                  <c:v>7.3</c:v>
                </c:pt>
                <c:pt idx="132">
                  <c:v>7.9</c:v>
                </c:pt>
                <c:pt idx="133">
                  <c:v>6.8</c:v>
                </c:pt>
                <c:pt idx="134">
                  <c:v>6.3</c:v>
                </c:pt>
                <c:pt idx="135">
                  <c:v>6.3</c:v>
                </c:pt>
                <c:pt idx="136">
                  <c:v>7.6</c:v>
                </c:pt>
                <c:pt idx="137">
                  <c:v>7</c:v>
                </c:pt>
                <c:pt idx="138">
                  <c:v>8</c:v>
                </c:pt>
                <c:pt idx="139" formatCode="0.00">
                  <c:v>6</c:v>
                </c:pt>
                <c:pt idx="141">
                  <c:v>5.64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505-4062-8B22-AA41EE7047C6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76200">
                <a:solidFill>
                  <a:srgbClr val="FF0000"/>
                </a:solidFill>
              </a:ln>
              <a:effectLst/>
            </c:spPr>
          </c:marker>
          <c:xVal>
            <c:numRef>
              <c:f>Cruise!$B$2</c:f>
              <c:numCache>
                <c:formatCode>General</c:formatCode>
                <c:ptCount val="1"/>
                <c:pt idx="0">
                  <c:v>280</c:v>
                </c:pt>
              </c:numCache>
            </c:numRef>
          </c:xVal>
          <c:yVal>
            <c:numRef>
              <c:f>Cruise!$B$4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45F-4748-B007-9EACC3929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4933224"/>
        <c:axId val="534938472"/>
      </c:scatterChart>
      <c:valAx>
        <c:axId val="534933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938472"/>
        <c:crosses val="autoZero"/>
        <c:crossBetween val="midCat"/>
      </c:valAx>
      <c:valAx>
        <c:axId val="534938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933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ROPAX!$V$144:$V$217</c:f>
              <c:numCache>
                <c:formatCode>General</c:formatCode>
                <c:ptCount val="74"/>
                <c:pt idx="0">
                  <c:v>8640</c:v>
                </c:pt>
                <c:pt idx="1">
                  <c:v>11600</c:v>
                </c:pt>
                <c:pt idx="2">
                  <c:v>13440</c:v>
                </c:pt>
                <c:pt idx="3">
                  <c:v>18900</c:v>
                </c:pt>
                <c:pt idx="4">
                  <c:v>16560</c:v>
                </c:pt>
                <c:pt idx="5">
                  <c:v>16000</c:v>
                </c:pt>
                <c:pt idx="6">
                  <c:v>7680</c:v>
                </c:pt>
                <c:pt idx="7">
                  <c:v>31200</c:v>
                </c:pt>
                <c:pt idx="8">
                  <c:v>37800</c:v>
                </c:pt>
                <c:pt idx="9">
                  <c:v>16000</c:v>
                </c:pt>
                <c:pt idx="10">
                  <c:v>21600</c:v>
                </c:pt>
                <c:pt idx="11">
                  <c:v>18900</c:v>
                </c:pt>
                <c:pt idx="12">
                  <c:v>46800</c:v>
                </c:pt>
                <c:pt idx="13">
                  <c:v>44480</c:v>
                </c:pt>
                <c:pt idx="14">
                  <c:v>67200</c:v>
                </c:pt>
                <c:pt idx="15">
                  <c:v>37800</c:v>
                </c:pt>
                <c:pt idx="16">
                  <c:v>50400</c:v>
                </c:pt>
                <c:pt idx="17">
                  <c:v>29880</c:v>
                </c:pt>
                <c:pt idx="18">
                  <c:v>15820</c:v>
                </c:pt>
                <c:pt idx="19">
                  <c:v>15785</c:v>
                </c:pt>
                <c:pt idx="20">
                  <c:v>9170</c:v>
                </c:pt>
                <c:pt idx="21">
                  <c:v>24480</c:v>
                </c:pt>
                <c:pt idx="22">
                  <c:v>18918</c:v>
                </c:pt>
                <c:pt idx="23">
                  <c:v>12600</c:v>
                </c:pt>
                <c:pt idx="24">
                  <c:v>16200</c:v>
                </c:pt>
                <c:pt idx="25">
                  <c:v>23040</c:v>
                </c:pt>
                <c:pt idx="26">
                  <c:v>15360</c:v>
                </c:pt>
                <c:pt idx="27">
                  <c:v>8600</c:v>
                </c:pt>
                <c:pt idx="28">
                  <c:v>23760</c:v>
                </c:pt>
                <c:pt idx="29">
                  <c:v>8640</c:v>
                </c:pt>
                <c:pt idx="30">
                  <c:v>13440</c:v>
                </c:pt>
                <c:pt idx="31">
                  <c:v>46080</c:v>
                </c:pt>
                <c:pt idx="33">
                  <c:v>21844</c:v>
                </c:pt>
                <c:pt idx="34">
                  <c:v>12000</c:v>
                </c:pt>
                <c:pt idx="35">
                  <c:v>23040</c:v>
                </c:pt>
                <c:pt idx="36">
                  <c:v>21600</c:v>
                </c:pt>
                <c:pt idx="37">
                  <c:v>11520</c:v>
                </c:pt>
                <c:pt idx="38">
                  <c:v>14400</c:v>
                </c:pt>
                <c:pt idx="39">
                  <c:v>8640</c:v>
                </c:pt>
                <c:pt idx="41">
                  <c:v>33200</c:v>
                </c:pt>
                <c:pt idx="42">
                  <c:v>22000</c:v>
                </c:pt>
                <c:pt idx="43">
                  <c:v>23400</c:v>
                </c:pt>
                <c:pt idx="44">
                  <c:v>23040</c:v>
                </c:pt>
                <c:pt idx="45">
                  <c:v>23040</c:v>
                </c:pt>
                <c:pt idx="46">
                  <c:v>23040</c:v>
                </c:pt>
                <c:pt idx="47">
                  <c:v>48000</c:v>
                </c:pt>
                <c:pt idx="48">
                  <c:v>26240</c:v>
                </c:pt>
                <c:pt idx="49">
                  <c:v>14810</c:v>
                </c:pt>
                <c:pt idx="51">
                  <c:v>25200</c:v>
                </c:pt>
                <c:pt idx="52">
                  <c:v>32800</c:v>
                </c:pt>
                <c:pt idx="53">
                  <c:v>32800</c:v>
                </c:pt>
                <c:pt idx="55">
                  <c:v>38400</c:v>
                </c:pt>
                <c:pt idx="56">
                  <c:v>28000</c:v>
                </c:pt>
                <c:pt idx="57">
                  <c:v>11520</c:v>
                </c:pt>
                <c:pt idx="58">
                  <c:v>16000</c:v>
                </c:pt>
                <c:pt idx="59">
                  <c:v>48000</c:v>
                </c:pt>
                <c:pt idx="60">
                  <c:v>39000</c:v>
                </c:pt>
                <c:pt idx="62">
                  <c:v>39000</c:v>
                </c:pt>
                <c:pt idx="63">
                  <c:v>1765</c:v>
                </c:pt>
                <c:pt idx="64">
                  <c:v>1920</c:v>
                </c:pt>
                <c:pt idx="65">
                  <c:v>1420</c:v>
                </c:pt>
                <c:pt idx="66">
                  <c:v>1420</c:v>
                </c:pt>
                <c:pt idx="67">
                  <c:v>5152</c:v>
                </c:pt>
                <c:pt idx="68">
                  <c:v>75600</c:v>
                </c:pt>
                <c:pt idx="72">
                  <c:v>30400</c:v>
                </c:pt>
                <c:pt idx="73">
                  <c:v>10700</c:v>
                </c:pt>
              </c:numCache>
            </c:numRef>
          </c:xVal>
          <c:yVal>
            <c:numRef>
              <c:f>ROPAX!$H$144:$H$217</c:f>
              <c:numCache>
                <c:formatCode>General</c:formatCode>
                <c:ptCount val="74"/>
                <c:pt idx="0">
                  <c:v>114.95</c:v>
                </c:pt>
                <c:pt idx="1">
                  <c:v>127.5</c:v>
                </c:pt>
                <c:pt idx="2">
                  <c:v>123</c:v>
                </c:pt>
                <c:pt idx="3">
                  <c:v>125</c:v>
                </c:pt>
                <c:pt idx="4">
                  <c:v>111.8</c:v>
                </c:pt>
                <c:pt idx="5">
                  <c:v>154</c:v>
                </c:pt>
                <c:pt idx="6">
                  <c:v>91.2</c:v>
                </c:pt>
                <c:pt idx="7">
                  <c:v>192.4</c:v>
                </c:pt>
                <c:pt idx="8">
                  <c:v>161.6</c:v>
                </c:pt>
                <c:pt idx="9">
                  <c:v>98.2</c:v>
                </c:pt>
                <c:pt idx="10">
                  <c:v>152.43</c:v>
                </c:pt>
                <c:pt idx="11">
                  <c:v>179.2</c:v>
                </c:pt>
                <c:pt idx="12">
                  <c:v>159.69999999999999</c:v>
                </c:pt>
                <c:pt idx="13">
                  <c:v>160.47999999999999</c:v>
                </c:pt>
                <c:pt idx="14">
                  <c:v>191.22</c:v>
                </c:pt>
                <c:pt idx="15">
                  <c:v>203.7</c:v>
                </c:pt>
                <c:pt idx="16">
                  <c:v>198</c:v>
                </c:pt>
                <c:pt idx="17">
                  <c:v>175</c:v>
                </c:pt>
                <c:pt idx="18">
                  <c:v>190.5</c:v>
                </c:pt>
                <c:pt idx="19">
                  <c:v>167</c:v>
                </c:pt>
                <c:pt idx="20">
                  <c:v>134</c:v>
                </c:pt>
                <c:pt idx="21">
                  <c:v>157.65</c:v>
                </c:pt>
                <c:pt idx="22">
                  <c:v>166.2</c:v>
                </c:pt>
                <c:pt idx="23">
                  <c:v>148.77000000000001</c:v>
                </c:pt>
                <c:pt idx="24">
                  <c:v>182.39</c:v>
                </c:pt>
                <c:pt idx="25">
                  <c:v>170</c:v>
                </c:pt>
                <c:pt idx="26">
                  <c:v>140</c:v>
                </c:pt>
                <c:pt idx="27">
                  <c:v>118.5</c:v>
                </c:pt>
                <c:pt idx="28">
                  <c:v>168.7</c:v>
                </c:pt>
                <c:pt idx="29">
                  <c:v>117.6</c:v>
                </c:pt>
                <c:pt idx="30">
                  <c:v>123</c:v>
                </c:pt>
                <c:pt idx="31">
                  <c:v>185.6</c:v>
                </c:pt>
                <c:pt idx="32">
                  <c:v>96</c:v>
                </c:pt>
                <c:pt idx="33">
                  <c:v>171</c:v>
                </c:pt>
                <c:pt idx="34">
                  <c:v>141</c:v>
                </c:pt>
                <c:pt idx="35">
                  <c:v>171.3</c:v>
                </c:pt>
                <c:pt idx="36">
                  <c:v>194.8</c:v>
                </c:pt>
                <c:pt idx="37">
                  <c:v>137.30000000000001</c:v>
                </c:pt>
                <c:pt idx="38">
                  <c:v>146</c:v>
                </c:pt>
                <c:pt idx="39">
                  <c:v>104.4</c:v>
                </c:pt>
                <c:pt idx="40">
                  <c:v>148</c:v>
                </c:pt>
                <c:pt idx="41">
                  <c:v>130</c:v>
                </c:pt>
                <c:pt idx="42">
                  <c:v>175</c:v>
                </c:pt>
                <c:pt idx="43">
                  <c:v>170.1</c:v>
                </c:pt>
                <c:pt idx="44">
                  <c:v>170</c:v>
                </c:pt>
                <c:pt idx="45">
                  <c:v>173.5</c:v>
                </c:pt>
                <c:pt idx="46">
                  <c:v>171.3</c:v>
                </c:pt>
                <c:pt idx="47">
                  <c:v>170</c:v>
                </c:pt>
                <c:pt idx="48">
                  <c:v>194.4</c:v>
                </c:pt>
                <c:pt idx="49">
                  <c:v>165</c:v>
                </c:pt>
                <c:pt idx="50">
                  <c:v>197.9</c:v>
                </c:pt>
                <c:pt idx="51">
                  <c:v>185</c:v>
                </c:pt>
                <c:pt idx="52">
                  <c:v>114.8</c:v>
                </c:pt>
                <c:pt idx="53">
                  <c:v>92.4</c:v>
                </c:pt>
                <c:pt idx="54">
                  <c:v>133.99</c:v>
                </c:pt>
                <c:pt idx="55">
                  <c:v>195.6766387195122</c:v>
                </c:pt>
                <c:pt idx="56">
                  <c:v>275.42130335365852</c:v>
                </c:pt>
                <c:pt idx="57">
                  <c:v>122.41063262195121</c:v>
                </c:pt>
                <c:pt idx="58">
                  <c:v>164</c:v>
                </c:pt>
                <c:pt idx="59">
                  <c:v>273.70636432926824</c:v>
                </c:pt>
                <c:pt idx="60">
                  <c:v>171.57221798780486</c:v>
                </c:pt>
                <c:pt idx="62">
                  <c:v>171.57221798780486</c:v>
                </c:pt>
                <c:pt idx="63">
                  <c:v>50.4</c:v>
                </c:pt>
                <c:pt idx="64">
                  <c:v>78.45</c:v>
                </c:pt>
                <c:pt idx="65">
                  <c:v>44.9</c:v>
                </c:pt>
                <c:pt idx="66">
                  <c:v>42.97</c:v>
                </c:pt>
                <c:pt idx="67">
                  <c:v>106.24</c:v>
                </c:pt>
                <c:pt idx="68">
                  <c:v>290.76048018292681</c:v>
                </c:pt>
                <c:pt idx="69">
                  <c:v>148</c:v>
                </c:pt>
                <c:pt idx="70">
                  <c:v>233.50057164634146</c:v>
                </c:pt>
                <c:pt idx="71">
                  <c:v>148</c:v>
                </c:pt>
                <c:pt idx="72">
                  <c:v>202.26009908536585</c:v>
                </c:pt>
                <c:pt idx="73">
                  <c:v>173.6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4C-488F-9CFD-2A5B39BB8B3B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76200">
                <a:solidFill>
                  <a:srgbClr val="FF0000"/>
                </a:solidFill>
              </a:ln>
              <a:effectLst/>
            </c:spPr>
          </c:marker>
          <c:xVal>
            <c:numRef>
              <c:f>ROPAX!$B$11</c:f>
              <c:numCache>
                <c:formatCode>General</c:formatCode>
                <c:ptCount val="1"/>
                <c:pt idx="0">
                  <c:v>50000</c:v>
                </c:pt>
              </c:numCache>
            </c:numRef>
          </c:xVal>
          <c:yVal>
            <c:numRef>
              <c:f>ROPAX!$B$3</c:f>
              <c:numCache>
                <c:formatCode>General</c:formatCode>
                <c:ptCount val="1"/>
                <c:pt idx="0">
                  <c:v>280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24C-488F-9CFD-2A5B39BB8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91416"/>
        <c:axId val="221891808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DWT(D)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ROPAX!$K$144:$K$217</c15:sqref>
                        </c15:formulaRef>
                      </c:ext>
                    </c:extLst>
                    <c:numCache>
                      <c:formatCode>General</c:formatCode>
                      <c:ptCount val="74"/>
                      <c:pt idx="0">
                        <c:v>8.6</c:v>
                      </c:pt>
                      <c:pt idx="1">
                        <c:v>8.6</c:v>
                      </c:pt>
                      <c:pt idx="2">
                        <c:v>8.1</c:v>
                      </c:pt>
                      <c:pt idx="3">
                        <c:v>8.35</c:v>
                      </c:pt>
                      <c:pt idx="4">
                        <c:v>7.25</c:v>
                      </c:pt>
                      <c:pt idx="5">
                        <c:v>8.09</c:v>
                      </c:pt>
                      <c:pt idx="6">
                        <c:v>5.5</c:v>
                      </c:pt>
                      <c:pt idx="7">
                        <c:v>9.9</c:v>
                      </c:pt>
                      <c:pt idx="8">
                        <c:v>9.4</c:v>
                      </c:pt>
                      <c:pt idx="9">
                        <c:v>7</c:v>
                      </c:pt>
                      <c:pt idx="10">
                        <c:v>9.1</c:v>
                      </c:pt>
                      <c:pt idx="11">
                        <c:v>8.1999999999999993</c:v>
                      </c:pt>
                      <c:pt idx="12">
                        <c:v>9.3000000000000007</c:v>
                      </c:pt>
                      <c:pt idx="13">
                        <c:v>9.4</c:v>
                      </c:pt>
                      <c:pt idx="14">
                        <c:v>10</c:v>
                      </c:pt>
                      <c:pt idx="15">
                        <c:v>9.4</c:v>
                      </c:pt>
                      <c:pt idx="16">
                        <c:v>9.9</c:v>
                      </c:pt>
                      <c:pt idx="17">
                        <c:v>9.1999999999999993</c:v>
                      </c:pt>
                      <c:pt idx="18">
                        <c:v>14.3</c:v>
                      </c:pt>
                      <c:pt idx="19">
                        <c:v>12.6</c:v>
                      </c:pt>
                      <c:pt idx="20">
                        <c:v>11.8</c:v>
                      </c:pt>
                      <c:pt idx="21">
                        <c:v>8.6</c:v>
                      </c:pt>
                      <c:pt idx="22">
                        <c:v>8.5</c:v>
                      </c:pt>
                      <c:pt idx="23">
                        <c:v>8</c:v>
                      </c:pt>
                      <c:pt idx="24">
                        <c:v>8.6</c:v>
                      </c:pt>
                      <c:pt idx="25">
                        <c:v>9</c:v>
                      </c:pt>
                      <c:pt idx="26">
                        <c:v>8.1</c:v>
                      </c:pt>
                      <c:pt idx="27">
                        <c:v>7.5</c:v>
                      </c:pt>
                      <c:pt idx="28">
                        <c:v>8.6999999999999993</c:v>
                      </c:pt>
                      <c:pt idx="29">
                        <c:v>14.7</c:v>
                      </c:pt>
                      <c:pt idx="30">
                        <c:v>13.7</c:v>
                      </c:pt>
                      <c:pt idx="31">
                        <c:v>18.5</c:v>
                      </c:pt>
                      <c:pt idx="32">
                        <c:v>8.85</c:v>
                      </c:pt>
                      <c:pt idx="33">
                        <c:v>14.25</c:v>
                      </c:pt>
                      <c:pt idx="34">
                        <c:v>13.01</c:v>
                      </c:pt>
                      <c:pt idx="35">
                        <c:v>8.91</c:v>
                      </c:pt>
                      <c:pt idx="36">
                        <c:v>15.5</c:v>
                      </c:pt>
                      <c:pt idx="38">
                        <c:v>17.600000000000001</c:v>
                      </c:pt>
                      <c:pt idx="41">
                        <c:v>14.65</c:v>
                      </c:pt>
                      <c:pt idx="42">
                        <c:v>9.1999999999999993</c:v>
                      </c:pt>
                      <c:pt idx="43">
                        <c:v>9.5</c:v>
                      </c:pt>
                      <c:pt idx="44">
                        <c:v>9</c:v>
                      </c:pt>
                      <c:pt idx="45">
                        <c:v>8.6</c:v>
                      </c:pt>
                      <c:pt idx="46">
                        <c:v>8.5</c:v>
                      </c:pt>
                      <c:pt idx="47">
                        <c:v>9.5</c:v>
                      </c:pt>
                      <c:pt idx="48">
                        <c:v>9.6999999999999993</c:v>
                      </c:pt>
                      <c:pt idx="52">
                        <c:v>8.1999999999999993</c:v>
                      </c:pt>
                      <c:pt idx="53">
                        <c:v>9.4</c:v>
                      </c:pt>
                      <c:pt idx="54">
                        <c:v>16.3</c:v>
                      </c:pt>
                      <c:pt idx="58">
                        <c:v>9</c:v>
                      </c:pt>
                      <c:pt idx="69">
                        <c:v>9.3000000000000007</c:v>
                      </c:pt>
                      <c:pt idx="71">
                        <c:v>9.3000000000000007</c:v>
                      </c:pt>
                      <c:pt idx="73">
                        <c:v>8.1999999999999993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ROPAX!$C$144:$C$217</c15:sqref>
                        </c15:formulaRef>
                      </c:ext>
                    </c:extLst>
                    <c:numCache>
                      <c:formatCode>General</c:formatCode>
                      <c:ptCount val="74"/>
                      <c:pt idx="0">
                        <c:v>2883</c:v>
                      </c:pt>
                      <c:pt idx="1">
                        <c:v>3009</c:v>
                      </c:pt>
                      <c:pt idx="2">
                        <c:v>2652</c:v>
                      </c:pt>
                      <c:pt idx="3">
                        <c:v>3600</c:v>
                      </c:pt>
                      <c:pt idx="4">
                        <c:v>1858</c:v>
                      </c:pt>
                      <c:pt idx="6">
                        <c:v>670</c:v>
                      </c:pt>
                      <c:pt idx="7">
                        <c:v>9665</c:v>
                      </c:pt>
                      <c:pt idx="8">
                        <c:v>3400</c:v>
                      </c:pt>
                      <c:pt idx="9">
                        <c:v>1250</c:v>
                      </c:pt>
                      <c:pt idx="10">
                        <c:v>5230</c:v>
                      </c:pt>
                      <c:pt idx="11">
                        <c:v>7100</c:v>
                      </c:pt>
                      <c:pt idx="12">
                        <c:v>3500</c:v>
                      </c:pt>
                      <c:pt idx="13">
                        <c:v>4563</c:v>
                      </c:pt>
                      <c:pt idx="14">
                        <c:v>6300</c:v>
                      </c:pt>
                      <c:pt idx="15">
                        <c:v>9268</c:v>
                      </c:pt>
                      <c:pt idx="16">
                        <c:v>6800</c:v>
                      </c:pt>
                      <c:pt idx="17">
                        <c:v>7200</c:v>
                      </c:pt>
                      <c:pt idx="18">
                        <c:v>13200</c:v>
                      </c:pt>
                      <c:pt idx="19">
                        <c:v>10600</c:v>
                      </c:pt>
                      <c:pt idx="20">
                        <c:v>5800</c:v>
                      </c:pt>
                      <c:pt idx="21">
                        <c:v>6170</c:v>
                      </c:pt>
                      <c:pt idx="22">
                        <c:v>9600</c:v>
                      </c:pt>
                      <c:pt idx="23">
                        <c:v>8050</c:v>
                      </c:pt>
                      <c:pt idx="24">
                        <c:v>7730</c:v>
                      </c:pt>
                      <c:pt idx="25">
                        <c:v>6800</c:v>
                      </c:pt>
                      <c:pt idx="26">
                        <c:v>7200</c:v>
                      </c:pt>
                      <c:pt idx="27">
                        <c:v>5238</c:v>
                      </c:pt>
                      <c:pt idx="28">
                        <c:v>7300</c:v>
                      </c:pt>
                      <c:pt idx="29">
                        <c:v>4504</c:v>
                      </c:pt>
                      <c:pt idx="30">
                        <c:v>2100</c:v>
                      </c:pt>
                      <c:pt idx="31">
                        <c:v>6920</c:v>
                      </c:pt>
                      <c:pt idx="32">
                        <c:v>950</c:v>
                      </c:pt>
                      <c:pt idx="33">
                        <c:v>6965</c:v>
                      </c:pt>
                      <c:pt idx="34">
                        <c:v>5024</c:v>
                      </c:pt>
                      <c:pt idx="35">
                        <c:v>11558</c:v>
                      </c:pt>
                      <c:pt idx="36">
                        <c:v>10466</c:v>
                      </c:pt>
                      <c:pt idx="37">
                        <c:v>7324</c:v>
                      </c:pt>
                      <c:pt idx="38">
                        <c:v>10996</c:v>
                      </c:pt>
                      <c:pt idx="39">
                        <c:v>1200</c:v>
                      </c:pt>
                      <c:pt idx="40">
                        <c:v>4275</c:v>
                      </c:pt>
                      <c:pt idx="41">
                        <c:v>2900</c:v>
                      </c:pt>
                      <c:pt idx="42">
                        <c:v>6705</c:v>
                      </c:pt>
                      <c:pt idx="43">
                        <c:v>5700</c:v>
                      </c:pt>
                      <c:pt idx="44">
                        <c:v>8383</c:v>
                      </c:pt>
                      <c:pt idx="45">
                        <c:v>5794</c:v>
                      </c:pt>
                      <c:pt idx="46">
                        <c:v>11682</c:v>
                      </c:pt>
                      <c:pt idx="47">
                        <c:v>4700</c:v>
                      </c:pt>
                      <c:pt idx="48">
                        <c:v>4850</c:v>
                      </c:pt>
                      <c:pt idx="49">
                        <c:v>8900</c:v>
                      </c:pt>
                      <c:pt idx="50">
                        <c:v>9500</c:v>
                      </c:pt>
                      <c:pt idx="51">
                        <c:v>7800</c:v>
                      </c:pt>
                      <c:pt idx="52">
                        <c:v>1000</c:v>
                      </c:pt>
                      <c:pt idx="53">
                        <c:v>936</c:v>
                      </c:pt>
                      <c:pt idx="54">
                        <c:v>2402</c:v>
                      </c:pt>
                      <c:pt idx="57">
                        <c:v>2412</c:v>
                      </c:pt>
                      <c:pt idx="58">
                        <c:v>7598</c:v>
                      </c:pt>
                      <c:pt idx="59">
                        <c:v>7900</c:v>
                      </c:pt>
                      <c:pt idx="60">
                        <c:v>7178</c:v>
                      </c:pt>
                      <c:pt idx="61">
                        <c:v>9653</c:v>
                      </c:pt>
                      <c:pt idx="62">
                        <c:v>5700</c:v>
                      </c:pt>
                      <c:pt idx="63">
                        <c:v>346</c:v>
                      </c:pt>
                      <c:pt idx="64">
                        <c:v>740</c:v>
                      </c:pt>
                      <c:pt idx="65">
                        <c:v>254</c:v>
                      </c:pt>
                      <c:pt idx="66">
                        <c:v>254</c:v>
                      </c:pt>
                      <c:pt idx="67">
                        <c:v>1738</c:v>
                      </c:pt>
                      <c:pt idx="68">
                        <c:v>11033</c:v>
                      </c:pt>
                      <c:pt idx="69">
                        <c:v>3900</c:v>
                      </c:pt>
                      <c:pt idx="70">
                        <c:v>7662</c:v>
                      </c:pt>
                      <c:pt idx="71">
                        <c:v>3900</c:v>
                      </c:pt>
                      <c:pt idx="72">
                        <c:v>6107</c:v>
                      </c:pt>
                      <c:pt idx="73">
                        <c:v>3000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2-324C-488F-9CFD-2A5B39BB8B3B}"/>
                  </c:ext>
                </c:extLst>
              </c15:ser>
            </c15:filteredScatterSeries>
          </c:ext>
        </c:extLst>
      </c:scatterChart>
      <c:valAx>
        <c:axId val="221891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Pwoer (KW)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891808"/>
        <c:crosses val="autoZero"/>
        <c:crossBetween val="midCat"/>
      </c:valAx>
      <c:valAx>
        <c:axId val="22189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Length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891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ROPAX!$AC$144:$AC$217</c:f>
              <c:numCache>
                <c:formatCode>General</c:formatCode>
                <c:ptCount val="74"/>
                <c:pt idx="0">
                  <c:v>4.9123931623931627</c:v>
                </c:pt>
                <c:pt idx="1">
                  <c:v>5.4487179487179489</c:v>
                </c:pt>
                <c:pt idx="2">
                  <c:v>5.4185022026431717</c:v>
                </c:pt>
                <c:pt idx="3">
                  <c:v>5.144032921810699</c:v>
                </c:pt>
                <c:pt idx="4">
                  <c:v>5.9153439153439153</c:v>
                </c:pt>
                <c:pt idx="5">
                  <c:v>5.5797101449275361</c:v>
                </c:pt>
                <c:pt idx="6">
                  <c:v>5.7721518987341769</c:v>
                </c:pt>
                <c:pt idx="7">
                  <c:v>6.166666666666667</c:v>
                </c:pt>
                <c:pt idx="8">
                  <c:v>5.3157894736842106</c:v>
                </c:pt>
                <c:pt idx="9">
                  <c:v>4.91</c:v>
                </c:pt>
                <c:pt idx="10">
                  <c:v>5.0810000000000004</c:v>
                </c:pt>
                <c:pt idx="11">
                  <c:v>7.6581196581196584</c:v>
                </c:pt>
                <c:pt idx="12">
                  <c:v>6.4395161290322571</c:v>
                </c:pt>
                <c:pt idx="13">
                  <c:v>6.2443579766536965</c:v>
                </c:pt>
                <c:pt idx="14">
                  <c:v>7.2431818181818182</c:v>
                </c:pt>
                <c:pt idx="15">
                  <c:v>6.4666666666666659</c:v>
                </c:pt>
                <c:pt idx="16">
                  <c:v>7.92</c:v>
                </c:pt>
                <c:pt idx="17">
                  <c:v>5.9322033898305087</c:v>
                </c:pt>
                <c:pt idx="18">
                  <c:v>5.9051456912585252</c:v>
                </c:pt>
                <c:pt idx="19">
                  <c:v>5.1863354037267078</c:v>
                </c:pt>
                <c:pt idx="20">
                  <c:v>5.36</c:v>
                </c:pt>
                <c:pt idx="21">
                  <c:v>6.7371794871794881</c:v>
                </c:pt>
                <c:pt idx="22">
                  <c:v>6.5952380952380949</c:v>
                </c:pt>
                <c:pt idx="23">
                  <c:v>7.2218446601941748</c:v>
                </c:pt>
                <c:pt idx="24">
                  <c:v>7.0149999999999997</c:v>
                </c:pt>
                <c:pt idx="25">
                  <c:v>5.9233449477351918</c:v>
                </c:pt>
                <c:pt idx="26">
                  <c:v>5.9322033898305078</c:v>
                </c:pt>
                <c:pt idx="27">
                  <c:v>5.6428571428571432</c:v>
                </c:pt>
                <c:pt idx="28">
                  <c:v>6.6944444444444438</c:v>
                </c:pt>
                <c:pt idx="29">
                  <c:v>5.0256410256410255</c:v>
                </c:pt>
                <c:pt idx="30">
                  <c:v>5.4185022026431717</c:v>
                </c:pt>
                <c:pt idx="31">
                  <c:v>7.3070866141732287</c:v>
                </c:pt>
                <c:pt idx="32">
                  <c:v>5.8181818181818183</c:v>
                </c:pt>
                <c:pt idx="33">
                  <c:v>6.4528301886792452</c:v>
                </c:pt>
                <c:pt idx="34">
                  <c:v>6.4678899082568808</c:v>
                </c:pt>
                <c:pt idx="35">
                  <c:v>5.9686411149825789</c:v>
                </c:pt>
                <c:pt idx="36">
                  <c:v>6.1645569620253164</c:v>
                </c:pt>
                <c:pt idx="37">
                  <c:v>5.867521367521368</c:v>
                </c:pt>
                <c:pt idx="38">
                  <c:v>5.770750988142292</c:v>
                </c:pt>
                <c:pt idx="39">
                  <c:v>5.6432432432432433</c:v>
                </c:pt>
                <c:pt idx="40">
                  <c:v>5.7587548638132295</c:v>
                </c:pt>
                <c:pt idx="41">
                  <c:v>5.416666666666667</c:v>
                </c:pt>
                <c:pt idx="42">
                  <c:v>5.9322033898305087</c:v>
                </c:pt>
                <c:pt idx="43">
                  <c:v>6.010600706713781</c:v>
                </c:pt>
                <c:pt idx="44">
                  <c:v>5.9233449477351918</c:v>
                </c:pt>
                <c:pt idx="45">
                  <c:v>7.2594142259414234</c:v>
                </c:pt>
                <c:pt idx="46">
                  <c:v>5.9686411149825789</c:v>
                </c:pt>
                <c:pt idx="47">
                  <c:v>6.1371841155234659</c:v>
                </c:pt>
                <c:pt idx="48">
                  <c:v>5.5227272727272725</c:v>
                </c:pt>
                <c:pt idx="49">
                  <c:v>6.2264150943396226</c:v>
                </c:pt>
                <c:pt idx="50">
                  <c:v>6.4253246753246751</c:v>
                </c:pt>
                <c:pt idx="51">
                  <c:v>6.4013840830449826</c:v>
                </c:pt>
                <c:pt idx="52">
                  <c:v>3.7763157894736845</c:v>
                </c:pt>
                <c:pt idx="53">
                  <c:v>3.8823529411764706</c:v>
                </c:pt>
                <c:pt idx="54">
                  <c:v>6.1463302752293583</c:v>
                </c:pt>
                <c:pt idx="55">
                  <c:v>7.5843658418415583</c:v>
                </c:pt>
                <c:pt idx="56">
                  <c:v>7.6505917598238478</c:v>
                </c:pt>
                <c:pt idx="57">
                  <c:v>5.1004430259146334</c:v>
                </c:pt>
                <c:pt idx="58">
                  <c:v>5.8571428571428568</c:v>
                </c:pt>
                <c:pt idx="59">
                  <c:v>7.6454291712086109</c:v>
                </c:pt>
                <c:pt idx="60">
                  <c:v>6.1939428876463847</c:v>
                </c:pt>
                <c:pt idx="62">
                  <c:v>6.1275792138501739</c:v>
                </c:pt>
                <c:pt idx="63">
                  <c:v>3.9252336448598131</c:v>
                </c:pt>
                <c:pt idx="64">
                  <c:v>4.4548551959114144</c:v>
                </c:pt>
                <c:pt idx="65">
                  <c:v>3.5078124999999996</c:v>
                </c:pt>
                <c:pt idx="66">
                  <c:v>3.3570312499999999</c:v>
                </c:pt>
                <c:pt idx="67">
                  <c:v>5.8373626373626371</c:v>
                </c:pt>
                <c:pt idx="68">
                  <c:v>6.1341873456313678</c:v>
                </c:pt>
                <c:pt idx="69">
                  <c:v>5.3818181818181818</c:v>
                </c:pt>
                <c:pt idx="70">
                  <c:v>7.2515705480230261</c:v>
                </c:pt>
                <c:pt idx="71">
                  <c:v>5.3818181818181818</c:v>
                </c:pt>
                <c:pt idx="72">
                  <c:v>6.2387445738854366</c:v>
                </c:pt>
                <c:pt idx="73">
                  <c:v>7</c:v>
                </c:pt>
              </c:numCache>
            </c:numRef>
          </c:xVal>
          <c:yVal>
            <c:numRef>
              <c:f>ROPAX!$Y$144:$Y$217</c:f>
              <c:numCache>
                <c:formatCode>General</c:formatCode>
                <c:ptCount val="74"/>
                <c:pt idx="0">
                  <c:v>0.2880098489190277</c:v>
                </c:pt>
                <c:pt idx="1">
                  <c:v>0.28146853640694552</c:v>
                </c:pt>
                <c:pt idx="2">
                  <c:v>0.31915282771883757</c:v>
                </c:pt>
                <c:pt idx="3">
                  <c:v>0.32320022333633508</c:v>
                </c:pt>
                <c:pt idx="4">
                  <c:v>0.37436920630037529</c:v>
                </c:pt>
                <c:pt idx="5">
                  <c:v>0.27794758964821775</c:v>
                </c:pt>
                <c:pt idx="6">
                  <c:v>0.28894543695517133</c:v>
                </c:pt>
                <c:pt idx="7">
                  <c:v>0.26050983562485208</c:v>
                </c:pt>
                <c:pt idx="8">
                  <c:v>0.32043133597579765</c:v>
                </c:pt>
                <c:pt idx="9">
                  <c:v>0.3480707497528841</c:v>
                </c:pt>
                <c:pt idx="10">
                  <c:v>0.27671460896494698</c:v>
                </c:pt>
                <c:pt idx="11">
                  <c:v>0.27606890542513374</c:v>
                </c:pt>
                <c:pt idx="12">
                  <c:v>0.37692029097966101</c:v>
                </c:pt>
                <c:pt idx="13">
                  <c:v>0.35007192621885042</c:v>
                </c:pt>
                <c:pt idx="14">
                  <c:v>0.35039615908002475</c:v>
                </c:pt>
                <c:pt idx="15">
                  <c:v>0.25318101942845589</c:v>
                </c:pt>
                <c:pt idx="16">
                  <c:v>0.35018104748524514</c:v>
                </c:pt>
                <c:pt idx="17">
                  <c:v>0.27315404388191039</c:v>
                </c:pt>
                <c:pt idx="18">
                  <c:v>0.24514537734082287</c:v>
                </c:pt>
                <c:pt idx="19">
                  <c:v>0.25420011224093775</c:v>
                </c:pt>
                <c:pt idx="20">
                  <c:v>0.26959086964059548</c:v>
                </c:pt>
                <c:pt idx="21">
                  <c:v>0.287792632087643</c:v>
                </c:pt>
                <c:pt idx="22">
                  <c:v>0.26245550621728653</c:v>
                </c:pt>
                <c:pt idx="23">
                  <c:v>0.26932476653426601</c:v>
                </c:pt>
                <c:pt idx="24">
                  <c:v>0.26269827279681163</c:v>
                </c:pt>
                <c:pt idx="25">
                  <c:v>0.27714190509962167</c:v>
                </c:pt>
                <c:pt idx="26">
                  <c:v>0.27763227747677827</c:v>
                </c:pt>
                <c:pt idx="27">
                  <c:v>0.27159220923300015</c:v>
                </c:pt>
                <c:pt idx="28">
                  <c:v>0.29464722661026155</c:v>
                </c:pt>
                <c:pt idx="29">
                  <c:v>0.28020252556733233</c:v>
                </c:pt>
                <c:pt idx="30">
                  <c:v>0.31100739592090904</c:v>
                </c:pt>
                <c:pt idx="31">
                  <c:v>0.34963346146222585</c:v>
                </c:pt>
                <c:pt idx="32">
                  <c:v>0.2933637240492728</c:v>
                </c:pt>
                <c:pt idx="33">
                  <c:v>0.28261059590809678</c:v>
                </c:pt>
                <c:pt idx="34">
                  <c:v>0.26972986369771079</c:v>
                </c:pt>
                <c:pt idx="35">
                  <c:v>0.22589041407196736</c:v>
                </c:pt>
                <c:pt idx="36">
                  <c:v>0.25890007869319276</c:v>
                </c:pt>
                <c:pt idx="37">
                  <c:v>0.25932264205532979</c:v>
                </c:pt>
                <c:pt idx="38">
                  <c:v>0.27186765779186173</c:v>
                </c:pt>
                <c:pt idx="39">
                  <c:v>0.30542693185205927</c:v>
                </c:pt>
                <c:pt idx="40">
                  <c:v>0.30377752422552856</c:v>
                </c:pt>
                <c:pt idx="41">
                  <c:v>0.31692389338259974</c:v>
                </c:pt>
                <c:pt idx="42">
                  <c:v>0.2296977187188792</c:v>
                </c:pt>
                <c:pt idx="43">
                  <c:v>0.31484139627078772</c:v>
                </c:pt>
                <c:pt idx="44">
                  <c:v>0.25824586611555655</c:v>
                </c:pt>
                <c:pt idx="45">
                  <c:v>0.23692333609866176</c:v>
                </c:pt>
                <c:pt idx="46">
                  <c:v>0.22589041407196736</c:v>
                </c:pt>
                <c:pt idx="47">
                  <c:v>0.34012870171317205</c:v>
                </c:pt>
                <c:pt idx="48">
                  <c:v>0.2591662999241392</c:v>
                </c:pt>
                <c:pt idx="49">
                  <c:v>0.255736078557942</c:v>
                </c:pt>
                <c:pt idx="50">
                  <c:v>0.25686430773874885</c:v>
                </c:pt>
                <c:pt idx="51">
                  <c:v>0.21736550214555872</c:v>
                </c:pt>
                <c:pt idx="52">
                  <c:v>0.61318712178791746</c:v>
                </c:pt>
                <c:pt idx="53">
                  <c:v>0.63222216310418244</c:v>
                </c:pt>
                <c:pt idx="55">
                  <c:v>0.31702846087323122</c:v>
                </c:pt>
                <c:pt idx="56">
                  <c:v>0.21476571251659318</c:v>
                </c:pt>
                <c:pt idx="57">
                  <c:v>0.28206422551380111</c:v>
                </c:pt>
                <c:pt idx="58">
                  <c:v>0.25779714967667977</c:v>
                </c:pt>
                <c:pt idx="59">
                  <c:v>0.21543748165923737</c:v>
                </c:pt>
                <c:pt idx="60">
                  <c:v>0.31348769871963822</c:v>
                </c:pt>
                <c:pt idx="62">
                  <c:v>0.28840868282206716</c:v>
                </c:pt>
                <c:pt idx="63">
                  <c:v>0.3169635167859885</c:v>
                </c:pt>
                <c:pt idx="64">
                  <c:v>0.26518169449108003</c:v>
                </c:pt>
                <c:pt idx="65">
                  <c:v>0.30640145295933496</c:v>
                </c:pt>
                <c:pt idx="66">
                  <c:v>0.2355315849949661</c:v>
                </c:pt>
                <c:pt idx="67">
                  <c:v>0.25496462558289623</c:v>
                </c:pt>
                <c:pt idx="68">
                  <c:v>0.21191366862533281</c:v>
                </c:pt>
                <c:pt idx="69">
                  <c:v>0.29027630092661616</c:v>
                </c:pt>
                <c:pt idx="70">
                  <c:v>0.2149760107239724</c:v>
                </c:pt>
                <c:pt idx="71">
                  <c:v>0.29027630092661616</c:v>
                </c:pt>
                <c:pt idx="72">
                  <c:v>0.25177080219892428</c:v>
                </c:pt>
                <c:pt idx="73">
                  <c:v>0.23062205934976637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101-4283-825A-8887F43EFECD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76200">
                <a:solidFill>
                  <a:srgbClr val="FF0000"/>
                </a:solidFill>
              </a:ln>
              <a:effectLst/>
            </c:spPr>
          </c:marker>
          <c:xVal>
            <c:numRef>
              <c:f>ROPAX!$B$13</c:f>
              <c:numCache>
                <c:formatCode>General</c:formatCode>
                <c:ptCount val="1"/>
                <c:pt idx="0">
                  <c:v>7.5675675675675675</c:v>
                </c:pt>
              </c:numCache>
            </c:numRef>
          </c:xVal>
          <c:yVal>
            <c:numRef>
              <c:f>ROPAX!$B$17</c:f>
              <c:numCache>
                <c:formatCode>General</c:formatCode>
                <c:ptCount val="1"/>
                <c:pt idx="0">
                  <c:v>0.1766840994720856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101-4283-825A-8887F43EF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183104"/>
        <c:axId val="221183496"/>
      </c:scatterChart>
      <c:valAx>
        <c:axId val="221183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L/B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183496"/>
        <c:crosses val="autoZero"/>
        <c:crossBetween val="midCat"/>
      </c:valAx>
      <c:valAx>
        <c:axId val="221183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183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ROPAX!$AB$144:$AB$217</c:f>
              <c:numCache>
                <c:formatCode>General</c:formatCode>
                <c:ptCount val="74"/>
                <c:pt idx="0">
                  <c:v>4.415094339622641</c:v>
                </c:pt>
                <c:pt idx="1">
                  <c:v>4.333333333333333</c:v>
                </c:pt>
                <c:pt idx="2">
                  <c:v>4.0535714285714288</c:v>
                </c:pt>
                <c:pt idx="3">
                  <c:v>4.2631578947368425</c:v>
                </c:pt>
                <c:pt idx="4">
                  <c:v>3.8571428571428568</c:v>
                </c:pt>
                <c:pt idx="5">
                  <c:v>4.8</c:v>
                </c:pt>
                <c:pt idx="6">
                  <c:v>4.9375</c:v>
                </c:pt>
                <c:pt idx="7">
                  <c:v>4.875</c:v>
                </c:pt>
                <c:pt idx="8">
                  <c:v>4.5921450151057401</c:v>
                </c:pt>
                <c:pt idx="9">
                  <c:v>4.4444444444444446</c:v>
                </c:pt>
                <c:pt idx="10">
                  <c:v>4.7619047619047619</c:v>
                </c:pt>
                <c:pt idx="11">
                  <c:v>3.8486842105263155</c:v>
                </c:pt>
                <c:pt idx="12">
                  <c:v>3.9365079365079367</c:v>
                </c:pt>
                <c:pt idx="13">
                  <c:v>4.0472440944881889</c:v>
                </c:pt>
                <c:pt idx="14">
                  <c:v>3.7183098591549295</c:v>
                </c:pt>
                <c:pt idx="15">
                  <c:v>5.2066115702479339</c:v>
                </c:pt>
                <c:pt idx="16">
                  <c:v>3.7878787878787881</c:v>
                </c:pt>
                <c:pt idx="17">
                  <c:v>4.758064516129032</c:v>
                </c:pt>
                <c:pt idx="18">
                  <c:v>3.3957894736842102</c:v>
                </c:pt>
                <c:pt idx="19">
                  <c:v>3.8333333333333335</c:v>
                </c:pt>
                <c:pt idx="20">
                  <c:v>3.4722222222222223</c:v>
                </c:pt>
                <c:pt idx="21">
                  <c:v>4.0344827586206895</c:v>
                </c:pt>
                <c:pt idx="22">
                  <c:v>4.2</c:v>
                </c:pt>
                <c:pt idx="23">
                  <c:v>3.1212121212121215</c:v>
                </c:pt>
                <c:pt idx="24">
                  <c:v>4.5614035087719298</c:v>
                </c:pt>
                <c:pt idx="25">
                  <c:v>4.7833333333333332</c:v>
                </c:pt>
                <c:pt idx="26">
                  <c:v>3.7460317460317465</c:v>
                </c:pt>
                <c:pt idx="27">
                  <c:v>3.5</c:v>
                </c:pt>
                <c:pt idx="28">
                  <c:v>3.8769230769230769</c:v>
                </c:pt>
                <c:pt idx="29">
                  <c:v>4.0344827586206895</c:v>
                </c:pt>
                <c:pt idx="30">
                  <c:v>3.9050404266299674</c:v>
                </c:pt>
                <c:pt idx="31">
                  <c:v>3.9687499999999996</c:v>
                </c:pt>
                <c:pt idx="32">
                  <c:v>3.5869565217391308</c:v>
                </c:pt>
                <c:pt idx="33">
                  <c:v>3.90625</c:v>
                </c:pt>
                <c:pt idx="34">
                  <c:v>4.2619745845552295</c:v>
                </c:pt>
                <c:pt idx="35">
                  <c:v>3.8700107874865153</c:v>
                </c:pt>
                <c:pt idx="36">
                  <c:v>5.0158730158730158</c:v>
                </c:pt>
                <c:pt idx="37">
                  <c:v>3.9</c:v>
                </c:pt>
                <c:pt idx="38">
                  <c:v>3.0478255631851585</c:v>
                </c:pt>
                <c:pt idx="39">
                  <c:v>4.1111111111111107</c:v>
                </c:pt>
                <c:pt idx="40">
                  <c:v>4.6727272727272728</c:v>
                </c:pt>
                <c:pt idx="41">
                  <c:v>4</c:v>
                </c:pt>
                <c:pt idx="42">
                  <c:v>4.758064516129032</c:v>
                </c:pt>
                <c:pt idx="43">
                  <c:v>4.3538461538461544</c:v>
                </c:pt>
                <c:pt idx="44">
                  <c:v>4.6186031541680075</c:v>
                </c:pt>
                <c:pt idx="45">
                  <c:v>4.1565217391304348</c:v>
                </c:pt>
                <c:pt idx="46">
                  <c:v>3.8783783783783781</c:v>
                </c:pt>
                <c:pt idx="47">
                  <c:v>4.2615384615384615</c:v>
                </c:pt>
                <c:pt idx="48">
                  <c:v>5.5</c:v>
                </c:pt>
                <c:pt idx="49">
                  <c:v>4.6491228070175437</c:v>
                </c:pt>
                <c:pt idx="50">
                  <c:v>4.7384615384615385</c:v>
                </c:pt>
                <c:pt idx="51">
                  <c:v>0</c:v>
                </c:pt>
                <c:pt idx="52">
                  <c:v>7.2380952380952372</c:v>
                </c:pt>
                <c:pt idx="53">
                  <c:v>6.5205479452054798</c:v>
                </c:pt>
                <c:pt idx="54">
                  <c:v>3.6824324324324325</c:v>
                </c:pt>
                <c:pt idx="55">
                  <c:v>3.9692307692307693</c:v>
                </c:pt>
                <c:pt idx="56">
                  <c:v>4.4720496894409933</c:v>
                </c:pt>
                <c:pt idx="57">
                  <c:v>4.2857142857142856</c:v>
                </c:pt>
                <c:pt idx="58">
                  <c:v>4.5161290322580641</c:v>
                </c:pt>
                <c:pt idx="59">
                  <c:v>4.4472049689440984</c:v>
                </c:pt>
                <c:pt idx="60">
                  <c:v>4.2615384615384615</c:v>
                </c:pt>
                <c:pt idx="61">
                  <c:v>4.2985915492957751</c:v>
                </c:pt>
                <c:pt idx="62">
                  <c:v>4.2748091603053435</c:v>
                </c:pt>
                <c:pt idx="63">
                  <c:v>2.8533333333333335</c:v>
                </c:pt>
                <c:pt idx="64">
                  <c:v>3.3542857142857141</c:v>
                </c:pt>
                <c:pt idx="65">
                  <c:v>4.129032258064516</c:v>
                </c:pt>
                <c:pt idx="66">
                  <c:v>4.129032258064516</c:v>
                </c:pt>
                <c:pt idx="67">
                  <c:v>3.0847457627118642</c:v>
                </c:pt>
                <c:pt idx="68">
                  <c:v>5.3863636363636358</c:v>
                </c:pt>
                <c:pt idx="69">
                  <c:v>4.3238993710691824</c:v>
                </c:pt>
                <c:pt idx="70">
                  <c:v>4.3989071038251364</c:v>
                </c:pt>
                <c:pt idx="71">
                  <c:v>4.3238993710691824</c:v>
                </c:pt>
                <c:pt idx="72">
                  <c:v>4.7676470588235293</c:v>
                </c:pt>
                <c:pt idx="73">
                  <c:v>4.5090909090909088</c:v>
                </c:pt>
              </c:numCache>
            </c:numRef>
          </c:xVal>
          <c:yVal>
            <c:numRef>
              <c:f>ROPAX!$Y$144:$Y$217</c:f>
              <c:numCache>
                <c:formatCode>General</c:formatCode>
                <c:ptCount val="74"/>
                <c:pt idx="0">
                  <c:v>0.2880098489190277</c:v>
                </c:pt>
                <c:pt idx="1">
                  <c:v>0.28146853640694552</c:v>
                </c:pt>
                <c:pt idx="2">
                  <c:v>0.31915282771883757</c:v>
                </c:pt>
                <c:pt idx="3">
                  <c:v>0.32320022333633508</c:v>
                </c:pt>
                <c:pt idx="4">
                  <c:v>0.37436920630037529</c:v>
                </c:pt>
                <c:pt idx="5">
                  <c:v>0.27794758964821775</c:v>
                </c:pt>
                <c:pt idx="6">
                  <c:v>0.28894543695517133</c:v>
                </c:pt>
                <c:pt idx="7">
                  <c:v>0.26050983562485208</c:v>
                </c:pt>
                <c:pt idx="8">
                  <c:v>0.32043133597579765</c:v>
                </c:pt>
                <c:pt idx="9">
                  <c:v>0.3480707497528841</c:v>
                </c:pt>
                <c:pt idx="10">
                  <c:v>0.27671460896494698</c:v>
                </c:pt>
                <c:pt idx="11">
                  <c:v>0.27606890542513374</c:v>
                </c:pt>
                <c:pt idx="12">
                  <c:v>0.37692029097966101</c:v>
                </c:pt>
                <c:pt idx="13">
                  <c:v>0.35007192621885042</c:v>
                </c:pt>
                <c:pt idx="14">
                  <c:v>0.35039615908002475</c:v>
                </c:pt>
                <c:pt idx="15">
                  <c:v>0.25318101942845589</c:v>
                </c:pt>
                <c:pt idx="16">
                  <c:v>0.35018104748524514</c:v>
                </c:pt>
                <c:pt idx="17">
                  <c:v>0.27315404388191039</c:v>
                </c:pt>
                <c:pt idx="18">
                  <c:v>0.24514537734082287</c:v>
                </c:pt>
                <c:pt idx="19">
                  <c:v>0.25420011224093775</c:v>
                </c:pt>
                <c:pt idx="20">
                  <c:v>0.26959086964059548</c:v>
                </c:pt>
                <c:pt idx="21">
                  <c:v>0.287792632087643</c:v>
                </c:pt>
                <c:pt idx="22">
                  <c:v>0.26245550621728653</c:v>
                </c:pt>
                <c:pt idx="23">
                  <c:v>0.26932476653426601</c:v>
                </c:pt>
                <c:pt idx="24">
                  <c:v>0.26269827279681163</c:v>
                </c:pt>
                <c:pt idx="25">
                  <c:v>0.27714190509962167</c:v>
                </c:pt>
                <c:pt idx="26">
                  <c:v>0.27763227747677827</c:v>
                </c:pt>
                <c:pt idx="27">
                  <c:v>0.27159220923300015</c:v>
                </c:pt>
                <c:pt idx="28">
                  <c:v>0.29464722661026155</c:v>
                </c:pt>
                <c:pt idx="29">
                  <c:v>0.28020252556733233</c:v>
                </c:pt>
                <c:pt idx="30">
                  <c:v>0.31100739592090904</c:v>
                </c:pt>
                <c:pt idx="31">
                  <c:v>0.34963346146222585</c:v>
                </c:pt>
                <c:pt idx="32">
                  <c:v>0.2933637240492728</c:v>
                </c:pt>
                <c:pt idx="33">
                  <c:v>0.28261059590809678</c:v>
                </c:pt>
                <c:pt idx="34">
                  <c:v>0.26972986369771079</c:v>
                </c:pt>
                <c:pt idx="35">
                  <c:v>0.22589041407196736</c:v>
                </c:pt>
                <c:pt idx="36">
                  <c:v>0.25890007869319276</c:v>
                </c:pt>
                <c:pt idx="37">
                  <c:v>0.25932264205532979</c:v>
                </c:pt>
                <c:pt idx="38">
                  <c:v>0.27186765779186173</c:v>
                </c:pt>
                <c:pt idx="39">
                  <c:v>0.30542693185205927</c:v>
                </c:pt>
                <c:pt idx="40">
                  <c:v>0.30377752422552856</c:v>
                </c:pt>
                <c:pt idx="41">
                  <c:v>0.31692389338259974</c:v>
                </c:pt>
                <c:pt idx="42">
                  <c:v>0.2296977187188792</c:v>
                </c:pt>
                <c:pt idx="43">
                  <c:v>0.31484139627078772</c:v>
                </c:pt>
                <c:pt idx="44">
                  <c:v>0.25824586611555655</c:v>
                </c:pt>
                <c:pt idx="45">
                  <c:v>0.23692333609866176</c:v>
                </c:pt>
                <c:pt idx="46">
                  <c:v>0.22589041407196736</c:v>
                </c:pt>
                <c:pt idx="47">
                  <c:v>0.34012870171317205</c:v>
                </c:pt>
                <c:pt idx="48">
                  <c:v>0.2591662999241392</c:v>
                </c:pt>
                <c:pt idx="49">
                  <c:v>0.255736078557942</c:v>
                </c:pt>
                <c:pt idx="50">
                  <c:v>0.25686430773874885</c:v>
                </c:pt>
                <c:pt idx="51">
                  <c:v>0.21736550214555872</c:v>
                </c:pt>
                <c:pt idx="52">
                  <c:v>0.61318712178791746</c:v>
                </c:pt>
                <c:pt idx="53">
                  <c:v>0.63222216310418244</c:v>
                </c:pt>
                <c:pt idx="55">
                  <c:v>0.31702846087323122</c:v>
                </c:pt>
                <c:pt idx="56">
                  <c:v>0.21476571251659318</c:v>
                </c:pt>
                <c:pt idx="57">
                  <c:v>0.28206422551380111</c:v>
                </c:pt>
                <c:pt idx="58">
                  <c:v>0.25779714967667977</c:v>
                </c:pt>
                <c:pt idx="59">
                  <c:v>0.21543748165923737</c:v>
                </c:pt>
                <c:pt idx="60">
                  <c:v>0.31348769871963822</c:v>
                </c:pt>
                <c:pt idx="62">
                  <c:v>0.28840868282206716</c:v>
                </c:pt>
                <c:pt idx="63">
                  <c:v>0.3169635167859885</c:v>
                </c:pt>
                <c:pt idx="64">
                  <c:v>0.26518169449108003</c:v>
                </c:pt>
                <c:pt idx="65">
                  <c:v>0.30640145295933496</c:v>
                </c:pt>
                <c:pt idx="66">
                  <c:v>0.2355315849949661</c:v>
                </c:pt>
                <c:pt idx="67">
                  <c:v>0.25496462558289623</c:v>
                </c:pt>
                <c:pt idx="68">
                  <c:v>0.21191366862533281</c:v>
                </c:pt>
                <c:pt idx="69">
                  <c:v>0.29027630092661616</c:v>
                </c:pt>
                <c:pt idx="70">
                  <c:v>0.2149760107239724</c:v>
                </c:pt>
                <c:pt idx="71">
                  <c:v>0.29027630092661616</c:v>
                </c:pt>
                <c:pt idx="72">
                  <c:v>0.25177080219892428</c:v>
                </c:pt>
                <c:pt idx="73">
                  <c:v>0.23062205934976637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DE7-44F3-A2C4-FEF27E07E7D5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76200">
                <a:solidFill>
                  <a:srgbClr val="FF0000"/>
                </a:solidFill>
              </a:ln>
              <a:effectLst/>
            </c:spPr>
          </c:marker>
          <c:xVal>
            <c:numRef>
              <c:f>ROPAX!$B$14</c:f>
              <c:numCache>
                <c:formatCode>General</c:formatCode>
                <c:ptCount val="1"/>
                <c:pt idx="0">
                  <c:v>4.625</c:v>
                </c:pt>
              </c:numCache>
            </c:numRef>
          </c:xVal>
          <c:yVal>
            <c:numRef>
              <c:f>ROPAX!$B$17</c:f>
              <c:numCache>
                <c:formatCode>General</c:formatCode>
                <c:ptCount val="1"/>
                <c:pt idx="0">
                  <c:v>0.1766840994720856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DE7-44F3-A2C4-FEF27E07E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183104"/>
        <c:axId val="221183496"/>
      </c:scatterChart>
      <c:valAx>
        <c:axId val="221183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183496"/>
        <c:crosses val="autoZero"/>
        <c:crossBetween val="midCat"/>
      </c:valAx>
      <c:valAx>
        <c:axId val="221183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183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poly"/>
            <c:order val="3"/>
            <c:dispRSqr val="0"/>
            <c:dispEq val="0"/>
          </c:trendline>
          <c:xVal>
            <c:numRef>
              <c:f>ROPAX!$C$144:$C$217</c:f>
              <c:numCache>
                <c:formatCode>General</c:formatCode>
                <c:ptCount val="74"/>
                <c:pt idx="0">
                  <c:v>2883</c:v>
                </c:pt>
                <c:pt idx="1">
                  <c:v>3009</c:v>
                </c:pt>
                <c:pt idx="2">
                  <c:v>2652</c:v>
                </c:pt>
                <c:pt idx="3">
                  <c:v>3600</c:v>
                </c:pt>
                <c:pt idx="4">
                  <c:v>1858</c:v>
                </c:pt>
                <c:pt idx="6">
                  <c:v>670</c:v>
                </c:pt>
                <c:pt idx="7">
                  <c:v>9665</c:v>
                </c:pt>
                <c:pt idx="8">
                  <c:v>3400</c:v>
                </c:pt>
                <c:pt idx="9">
                  <c:v>1250</c:v>
                </c:pt>
                <c:pt idx="10">
                  <c:v>5230</c:v>
                </c:pt>
                <c:pt idx="11">
                  <c:v>7100</c:v>
                </c:pt>
                <c:pt idx="12">
                  <c:v>3500</c:v>
                </c:pt>
                <c:pt idx="13">
                  <c:v>4563</c:v>
                </c:pt>
                <c:pt idx="14">
                  <c:v>6300</c:v>
                </c:pt>
                <c:pt idx="15">
                  <c:v>9268</c:v>
                </c:pt>
                <c:pt idx="16">
                  <c:v>6800</c:v>
                </c:pt>
                <c:pt idx="17">
                  <c:v>7200</c:v>
                </c:pt>
                <c:pt idx="18">
                  <c:v>13200</c:v>
                </c:pt>
                <c:pt idx="19">
                  <c:v>10600</c:v>
                </c:pt>
                <c:pt idx="20">
                  <c:v>5800</c:v>
                </c:pt>
                <c:pt idx="21">
                  <c:v>6170</c:v>
                </c:pt>
                <c:pt idx="22">
                  <c:v>9600</c:v>
                </c:pt>
                <c:pt idx="23">
                  <c:v>8050</c:v>
                </c:pt>
                <c:pt idx="24">
                  <c:v>7730</c:v>
                </c:pt>
                <c:pt idx="25">
                  <c:v>6800</c:v>
                </c:pt>
                <c:pt idx="26">
                  <c:v>7200</c:v>
                </c:pt>
                <c:pt idx="27">
                  <c:v>5238</c:v>
                </c:pt>
                <c:pt idx="28">
                  <c:v>7300</c:v>
                </c:pt>
                <c:pt idx="29">
                  <c:v>4504</c:v>
                </c:pt>
                <c:pt idx="30">
                  <c:v>2100</c:v>
                </c:pt>
                <c:pt idx="31">
                  <c:v>6920</c:v>
                </c:pt>
                <c:pt idx="32">
                  <c:v>950</c:v>
                </c:pt>
                <c:pt idx="33">
                  <c:v>6965</c:v>
                </c:pt>
                <c:pt idx="34">
                  <c:v>5024</c:v>
                </c:pt>
                <c:pt idx="35">
                  <c:v>11558</c:v>
                </c:pt>
                <c:pt idx="36">
                  <c:v>10466</c:v>
                </c:pt>
                <c:pt idx="37">
                  <c:v>7324</c:v>
                </c:pt>
                <c:pt idx="38">
                  <c:v>10996</c:v>
                </c:pt>
                <c:pt idx="39">
                  <c:v>1200</c:v>
                </c:pt>
                <c:pt idx="40">
                  <c:v>4275</c:v>
                </c:pt>
                <c:pt idx="41">
                  <c:v>2900</c:v>
                </c:pt>
                <c:pt idx="42">
                  <c:v>6705</c:v>
                </c:pt>
                <c:pt idx="43">
                  <c:v>5700</c:v>
                </c:pt>
                <c:pt idx="44">
                  <c:v>8383</c:v>
                </c:pt>
                <c:pt idx="45">
                  <c:v>5794</c:v>
                </c:pt>
                <c:pt idx="46">
                  <c:v>11682</c:v>
                </c:pt>
                <c:pt idx="47">
                  <c:v>4700</c:v>
                </c:pt>
                <c:pt idx="48">
                  <c:v>4850</c:v>
                </c:pt>
                <c:pt idx="49">
                  <c:v>8900</c:v>
                </c:pt>
                <c:pt idx="50">
                  <c:v>9500</c:v>
                </c:pt>
                <c:pt idx="51">
                  <c:v>7800</c:v>
                </c:pt>
                <c:pt idx="52">
                  <c:v>1000</c:v>
                </c:pt>
                <c:pt idx="53">
                  <c:v>936</c:v>
                </c:pt>
                <c:pt idx="54">
                  <c:v>2402</c:v>
                </c:pt>
                <c:pt idx="57">
                  <c:v>2412</c:v>
                </c:pt>
                <c:pt idx="58">
                  <c:v>7598</c:v>
                </c:pt>
                <c:pt idx="59">
                  <c:v>7900</c:v>
                </c:pt>
                <c:pt idx="60">
                  <c:v>7178</c:v>
                </c:pt>
                <c:pt idx="61">
                  <c:v>9653</c:v>
                </c:pt>
                <c:pt idx="62">
                  <c:v>5700</c:v>
                </c:pt>
                <c:pt idx="63">
                  <c:v>346</c:v>
                </c:pt>
                <c:pt idx="64">
                  <c:v>740</c:v>
                </c:pt>
                <c:pt idx="65">
                  <c:v>254</c:v>
                </c:pt>
                <c:pt idx="66">
                  <c:v>254</c:v>
                </c:pt>
                <c:pt idx="67">
                  <c:v>1738</c:v>
                </c:pt>
                <c:pt idx="68">
                  <c:v>11033</c:v>
                </c:pt>
                <c:pt idx="69">
                  <c:v>3900</c:v>
                </c:pt>
                <c:pt idx="70">
                  <c:v>7662</c:v>
                </c:pt>
                <c:pt idx="71">
                  <c:v>3900</c:v>
                </c:pt>
                <c:pt idx="72">
                  <c:v>6107</c:v>
                </c:pt>
                <c:pt idx="73">
                  <c:v>3000</c:v>
                </c:pt>
              </c:numCache>
            </c:numRef>
          </c:xVal>
          <c:yVal>
            <c:numRef>
              <c:f>ROPAX!$Z$144:$Z$217</c:f>
              <c:numCache>
                <c:formatCode>General</c:formatCode>
                <c:ptCount val="74"/>
                <c:pt idx="0">
                  <c:v>5.7183265770812381</c:v>
                </c:pt>
                <c:pt idx="1">
                  <c:v>6.0613351806064646</c:v>
                </c:pt>
                <c:pt idx="2">
                  <c:v>6.0563448703477389</c:v>
                </c:pt>
                <c:pt idx="3">
                  <c:v>5.9642069979336307</c:v>
                </c:pt>
                <c:pt idx="4">
                  <c:v>6.5204966579506696</c:v>
                </c:pt>
                <c:pt idx="5">
                  <c:v>6.3556430688192664</c:v>
                </c:pt>
                <c:pt idx="6">
                  <c:v>6.6135724754492875</c:v>
                </c:pt>
                <c:pt idx="7">
                  <c:v>6.7411722765039581</c:v>
                </c:pt>
                <c:pt idx="8">
                  <c:v>6.2384417070011038</c:v>
                </c:pt>
                <c:pt idx="9">
                  <c:v>5.9503028867303982</c:v>
                </c:pt>
                <c:pt idx="10">
                  <c:v>5.9499255003680878</c:v>
                </c:pt>
                <c:pt idx="11">
                  <c:v>7.2822866281025824</c:v>
                </c:pt>
                <c:pt idx="12">
                  <c:v>6.9566664820920172</c:v>
                </c:pt>
                <c:pt idx="13">
                  <c:v>6.7777965699076503</c:v>
                </c:pt>
                <c:pt idx="14">
                  <c:v>7.275431063844831</c:v>
                </c:pt>
                <c:pt idx="15">
                  <c:v>7.0719147593357938</c:v>
                </c:pt>
                <c:pt idx="16">
                  <c:v>7.7687787206414844</c:v>
                </c:pt>
                <c:pt idx="17">
                  <c:v>6.5783110181641646</c:v>
                </c:pt>
                <c:pt idx="18">
                  <c:v>5.7354057953533015</c:v>
                </c:pt>
                <c:pt idx="19">
                  <c:v>5.51670576111239</c:v>
                </c:pt>
                <c:pt idx="20">
                  <c:v>5.5207592877855847</c:v>
                </c:pt>
                <c:pt idx="21">
                  <c:v>6.8487194981097685</c:v>
                </c:pt>
                <c:pt idx="22">
                  <c:v>6.7183088573986556</c:v>
                </c:pt>
                <c:pt idx="23">
                  <c:v>6.4984112747250133</c:v>
                </c:pt>
                <c:pt idx="24">
                  <c:v>7.1970546936218618</c:v>
                </c:pt>
                <c:pt idx="25">
                  <c:v>6.6024849018760303</c:v>
                </c:pt>
                <c:pt idx="26">
                  <c:v>6.0940672533820335</c:v>
                </c:pt>
                <c:pt idx="27">
                  <c:v>5.7369921905572259</c:v>
                </c:pt>
                <c:pt idx="28">
                  <c:v>6.761524708225406</c:v>
                </c:pt>
                <c:pt idx="29">
                  <c:v>5.6031220836823126</c:v>
                </c:pt>
                <c:pt idx="30">
                  <c:v>5.9506019865078654</c:v>
                </c:pt>
                <c:pt idx="31">
                  <c:v>7.475646572450402</c:v>
                </c:pt>
                <c:pt idx="32">
                  <c:v>5.9950607827752762</c:v>
                </c:pt>
                <c:pt idx="33">
                  <c:v>6.5594879105243571</c:v>
                </c:pt>
                <c:pt idx="34">
                  <c:v>6.7005417324506773</c:v>
                </c:pt>
                <c:pt idx="35">
                  <c:v>5.9358011226817782</c:v>
                </c:pt>
                <c:pt idx="36">
                  <c:v>6.7955081777252841</c:v>
                </c:pt>
                <c:pt idx="37">
                  <c:v>6.0483672761742238</c:v>
                </c:pt>
                <c:pt idx="38">
                  <c:v>5.5620537305934041</c:v>
                </c:pt>
                <c:pt idx="39">
                  <c:v>6.1972516184487425</c:v>
                </c:pt>
                <c:pt idx="40">
                  <c:v>6.5483579684856128</c:v>
                </c:pt>
                <c:pt idx="41">
                  <c:v>6.019741090623282</c:v>
                </c:pt>
                <c:pt idx="42">
                  <c:v>6.3542487520012587</c:v>
                </c:pt>
                <c:pt idx="43">
                  <c:v>6.6282679445870567</c:v>
                </c:pt>
                <c:pt idx="44">
                  <c:v>6.4342853903730601</c:v>
                </c:pt>
                <c:pt idx="45">
                  <c:v>6.9926971138868339</c:v>
                </c:pt>
                <c:pt idx="46">
                  <c:v>5.9400760979604996</c:v>
                </c:pt>
                <c:pt idx="47">
                  <c:v>6.7770752395729223</c:v>
                </c:pt>
                <c:pt idx="48">
                  <c:v>6.5135499139914943</c:v>
                </c:pt>
                <c:pt idx="49">
                  <c:v>6.6535414254707943</c:v>
                </c:pt>
                <c:pt idx="50">
                  <c:v>6.8437689022030046</c:v>
                </c:pt>
                <c:pt idx="52">
                  <c:v>6.5813903642895992</c:v>
                </c:pt>
                <c:pt idx="53">
                  <c:v>6.5144446061410193</c:v>
                </c:pt>
                <c:pt idx="55">
                  <c:v>7.5153064527480149</c:v>
                </c:pt>
                <c:pt idx="56">
                  <c:v>7.2761888162004897</c:v>
                </c:pt>
                <c:pt idx="57">
                  <c:v>5.7813334490280095</c:v>
                </c:pt>
                <c:pt idx="58">
                  <c:v>6.3364647899873718</c:v>
                </c:pt>
                <c:pt idx="59">
                  <c:v>7.2639574737062826</c:v>
                </c:pt>
                <c:pt idx="60">
                  <c:v>6.7084643243665409</c:v>
                </c:pt>
                <c:pt idx="62">
                  <c:v>6.5571020807021654</c:v>
                </c:pt>
                <c:pt idx="63">
                  <c:v>4.3395208475216656</c:v>
                </c:pt>
                <c:pt idx="64">
                  <c:v>4.8085027163364842</c:v>
                </c:pt>
                <c:pt idx="65">
                  <c:v>4.5231804654516834</c:v>
                </c:pt>
                <c:pt idx="66">
                  <c:v>4.1674934331725382</c:v>
                </c:pt>
                <c:pt idx="67">
                  <c:v>5.5555318189011</c:v>
                </c:pt>
                <c:pt idx="68">
                  <c:v>6.6636746735878329</c:v>
                </c:pt>
                <c:pt idx="69">
                  <c:v>6.0443870773887127</c:v>
                </c:pt>
                <c:pt idx="70">
                  <c:v>6.9838203582884733</c:v>
                </c:pt>
                <c:pt idx="71">
                  <c:v>6.0443870773887127</c:v>
                </c:pt>
                <c:pt idx="72">
                  <c:v>6.6974989477463254</c:v>
                </c:pt>
                <c:pt idx="73">
                  <c:v>6.9751562112249363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53D-4233-B216-FC079E8E2D23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76200">
                <a:solidFill>
                  <a:srgbClr val="FF0000"/>
                </a:solidFill>
              </a:ln>
              <a:effectLst/>
            </c:spPr>
          </c:marker>
          <c:xVal>
            <c:numRef>
              <c:f>ROPAX!$B$7</c:f>
              <c:numCache>
                <c:formatCode>General</c:formatCode>
                <c:ptCount val="1"/>
                <c:pt idx="0">
                  <c:v>4826</c:v>
                </c:pt>
              </c:numCache>
            </c:numRef>
          </c:xVal>
          <c:yVal>
            <c:numRef>
              <c:f>ROPAX!$B$16</c:f>
              <c:numCache>
                <c:formatCode>General</c:formatCode>
                <c:ptCount val="1"/>
                <c:pt idx="0">
                  <c:v>7.0683985547737125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53D-4233-B216-FC079E8E2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183104"/>
        <c:axId val="221183496"/>
      </c:scatterChart>
      <c:valAx>
        <c:axId val="221183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DWT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183496"/>
        <c:crosses val="autoZero"/>
        <c:crossBetween val="midCat"/>
      </c:valAx>
      <c:valAx>
        <c:axId val="221183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L/(V^(1/3))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183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</a:ln>
              <a:effectLst/>
            </c:spPr>
            <c:trendlineType val="linear"/>
            <c:forward val="40"/>
            <c:backward val="40"/>
            <c:dispRSqr val="0"/>
            <c:dispEq val="0"/>
          </c:trendline>
          <c:xVal>
            <c:numRef>
              <c:f>'Container ships'!$G$147:$G$165</c:f>
              <c:numCache>
                <c:formatCode>General</c:formatCode>
                <c:ptCount val="19"/>
                <c:pt idx="0" formatCode="0.00">
                  <c:v>223.4</c:v>
                </c:pt>
                <c:pt idx="1">
                  <c:v>204</c:v>
                </c:pt>
                <c:pt idx="2">
                  <c:v>264.39999999999998</c:v>
                </c:pt>
                <c:pt idx="3">
                  <c:v>397</c:v>
                </c:pt>
                <c:pt idx="4">
                  <c:v>190.42</c:v>
                </c:pt>
                <c:pt idx="5">
                  <c:v>99.2</c:v>
                </c:pt>
                <c:pt idx="6">
                  <c:v>400</c:v>
                </c:pt>
                <c:pt idx="7">
                  <c:v>200</c:v>
                </c:pt>
                <c:pt idx="8">
                  <c:v>186</c:v>
                </c:pt>
                <c:pt idx="9">
                  <c:v>192</c:v>
                </c:pt>
                <c:pt idx="10">
                  <c:v>186</c:v>
                </c:pt>
                <c:pt idx="11">
                  <c:v>195</c:v>
                </c:pt>
                <c:pt idx="12">
                  <c:v>147</c:v>
                </c:pt>
                <c:pt idx="13">
                  <c:v>99</c:v>
                </c:pt>
                <c:pt idx="14">
                  <c:v>80</c:v>
                </c:pt>
                <c:pt idx="15">
                  <c:v>80</c:v>
                </c:pt>
                <c:pt idx="16">
                  <c:v>347</c:v>
                </c:pt>
                <c:pt idx="17">
                  <c:v>300</c:v>
                </c:pt>
                <c:pt idx="18">
                  <c:v>270</c:v>
                </c:pt>
              </c:numCache>
            </c:numRef>
          </c:xVal>
          <c:yVal>
            <c:numRef>
              <c:f>'Container ships'!$H$147:$H$165</c:f>
              <c:numCache>
                <c:formatCode>General</c:formatCode>
                <c:ptCount val="19"/>
                <c:pt idx="0" formatCode="0.00">
                  <c:v>30</c:v>
                </c:pt>
                <c:pt idx="1">
                  <c:v>32.200000000000003</c:v>
                </c:pt>
                <c:pt idx="2">
                  <c:v>40</c:v>
                </c:pt>
                <c:pt idx="3">
                  <c:v>56.4</c:v>
                </c:pt>
                <c:pt idx="4">
                  <c:v>31</c:v>
                </c:pt>
                <c:pt idx="5">
                  <c:v>21.5</c:v>
                </c:pt>
                <c:pt idx="6">
                  <c:v>61</c:v>
                </c:pt>
                <c:pt idx="7">
                  <c:v>35</c:v>
                </c:pt>
                <c:pt idx="8">
                  <c:v>36</c:v>
                </c:pt>
                <c:pt idx="9">
                  <c:v>32</c:v>
                </c:pt>
                <c:pt idx="10">
                  <c:v>35</c:v>
                </c:pt>
                <c:pt idx="11">
                  <c:v>32</c:v>
                </c:pt>
                <c:pt idx="12">
                  <c:v>25</c:v>
                </c:pt>
                <c:pt idx="13">
                  <c:v>18</c:v>
                </c:pt>
                <c:pt idx="14">
                  <c:v>16</c:v>
                </c:pt>
                <c:pt idx="15">
                  <c:v>14</c:v>
                </c:pt>
                <c:pt idx="16">
                  <c:v>45</c:v>
                </c:pt>
                <c:pt idx="17">
                  <c:v>48</c:v>
                </c:pt>
                <c:pt idx="18">
                  <c:v>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E12-4CC6-AB0A-261C86B9F35E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76200">
                <a:solidFill>
                  <a:srgbClr val="FF0000"/>
                </a:solidFill>
                <a:round/>
              </a:ln>
              <a:effectLst/>
            </c:spPr>
          </c:marker>
          <c:xVal>
            <c:numRef>
              <c:f>'Container ships'!$B$3</c:f>
              <c:numCache>
                <c:formatCode>General</c:formatCode>
                <c:ptCount val="1"/>
                <c:pt idx="0">
                  <c:v>280</c:v>
                </c:pt>
              </c:numCache>
            </c:numRef>
          </c:xVal>
          <c:yVal>
            <c:numRef>
              <c:f>'Container ships'!$B$4</c:f>
              <c:numCache>
                <c:formatCode>General</c:formatCode>
                <c:ptCount val="1"/>
                <c:pt idx="0">
                  <c:v>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E12-4CC6-AB0A-261C86B9F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806712"/>
        <c:axId val="220534568"/>
      </c:scatterChart>
      <c:valAx>
        <c:axId val="219806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0" i="0" u="none" strike="noStrike" baseline="0">
                    <a:effectLst/>
                  </a:rPr>
                  <a:t>Lbp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8910488975481925"/>
              <c:y val="0.875069262175561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534568"/>
        <c:crosses val="autoZero"/>
        <c:crossBetween val="midCat"/>
      </c:valAx>
      <c:valAx>
        <c:axId val="220534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0" i="0" u="none" strike="noStrike" baseline="0">
                    <a:effectLst/>
                  </a:rPr>
                  <a:t>Breadth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806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DWT(Lbp)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exp"/>
            <c:forward val="40"/>
            <c:dispRSqr val="0"/>
            <c:dispEq val="0"/>
          </c:trendline>
          <c:xVal>
            <c:numRef>
              <c:f>'Container ships'!$G$147:$G$168</c:f>
              <c:numCache>
                <c:formatCode>General</c:formatCode>
                <c:ptCount val="22"/>
                <c:pt idx="0" formatCode="0.00">
                  <c:v>223.4</c:v>
                </c:pt>
                <c:pt idx="1">
                  <c:v>204</c:v>
                </c:pt>
                <c:pt idx="2">
                  <c:v>264.39999999999998</c:v>
                </c:pt>
                <c:pt idx="3">
                  <c:v>397</c:v>
                </c:pt>
                <c:pt idx="4">
                  <c:v>190.42</c:v>
                </c:pt>
                <c:pt idx="5">
                  <c:v>99.2</c:v>
                </c:pt>
                <c:pt idx="6">
                  <c:v>400</c:v>
                </c:pt>
                <c:pt idx="7">
                  <c:v>200</c:v>
                </c:pt>
                <c:pt idx="8">
                  <c:v>186</c:v>
                </c:pt>
                <c:pt idx="9">
                  <c:v>192</c:v>
                </c:pt>
                <c:pt idx="10">
                  <c:v>186</c:v>
                </c:pt>
                <c:pt idx="11">
                  <c:v>195</c:v>
                </c:pt>
                <c:pt idx="12">
                  <c:v>147</c:v>
                </c:pt>
                <c:pt idx="13">
                  <c:v>99</c:v>
                </c:pt>
                <c:pt idx="14">
                  <c:v>80</c:v>
                </c:pt>
                <c:pt idx="15">
                  <c:v>80</c:v>
                </c:pt>
                <c:pt idx="16">
                  <c:v>347</c:v>
                </c:pt>
                <c:pt idx="17">
                  <c:v>300</c:v>
                </c:pt>
                <c:pt idx="18">
                  <c:v>270</c:v>
                </c:pt>
              </c:numCache>
            </c:numRef>
          </c:xVal>
          <c:yVal>
            <c:numRef>
              <c:f>'Container ships'!$C$147:$C$168</c:f>
              <c:numCache>
                <c:formatCode>General</c:formatCode>
                <c:ptCount val="22"/>
                <c:pt idx="0" formatCode="0.00">
                  <c:v>23385</c:v>
                </c:pt>
                <c:pt idx="1">
                  <c:v>34330</c:v>
                </c:pt>
                <c:pt idx="3">
                  <c:v>156907</c:v>
                </c:pt>
                <c:pt idx="4">
                  <c:v>17023</c:v>
                </c:pt>
                <c:pt idx="5">
                  <c:v>5817</c:v>
                </c:pt>
                <c:pt idx="6">
                  <c:v>216900</c:v>
                </c:pt>
                <c:pt idx="7">
                  <c:v>39819</c:v>
                </c:pt>
                <c:pt idx="8">
                  <c:v>37621</c:v>
                </c:pt>
                <c:pt idx="9">
                  <c:v>34770</c:v>
                </c:pt>
                <c:pt idx="10">
                  <c:v>37056</c:v>
                </c:pt>
                <c:pt idx="11">
                  <c:v>34350</c:v>
                </c:pt>
                <c:pt idx="12">
                  <c:v>15219</c:v>
                </c:pt>
                <c:pt idx="13">
                  <c:v>5269</c:v>
                </c:pt>
                <c:pt idx="14">
                  <c:v>2713</c:v>
                </c:pt>
                <c:pt idx="15">
                  <c:v>2565</c:v>
                </c:pt>
                <c:pt idx="16">
                  <c:v>131477</c:v>
                </c:pt>
                <c:pt idx="17">
                  <c:v>115657</c:v>
                </c:pt>
                <c:pt idx="18">
                  <c:v>80163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E63-4158-ACDA-439D6B4141F9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76200">
                <a:solidFill>
                  <a:srgbClr val="FF0000"/>
                </a:solidFill>
              </a:ln>
              <a:effectLst/>
            </c:spPr>
          </c:marker>
          <c:xVal>
            <c:numRef>
              <c:f>'Container ships'!$B$3</c:f>
              <c:numCache>
                <c:formatCode>General</c:formatCode>
                <c:ptCount val="1"/>
                <c:pt idx="0">
                  <c:v>280</c:v>
                </c:pt>
              </c:numCache>
            </c:numRef>
          </c:xVal>
          <c:yVal>
            <c:numRef>
              <c:f>'Container ships'!$B$7</c:f>
              <c:numCache>
                <c:formatCode>General</c:formatCode>
                <c:ptCount val="1"/>
                <c:pt idx="0">
                  <c:v>80000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E63-4158-ACDA-439D6B414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179968"/>
        <c:axId val="221180360"/>
      </c:scatterChart>
      <c:valAx>
        <c:axId val="221179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LBP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180360"/>
        <c:crosses val="autoZero"/>
        <c:crossBetween val="midCat"/>
      </c:valAx>
      <c:valAx>
        <c:axId val="221180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DWT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17996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'Container ships'!$G$147:$G$165</c:f>
              <c:numCache>
                <c:formatCode>General</c:formatCode>
                <c:ptCount val="19"/>
                <c:pt idx="0" formatCode="0.00">
                  <c:v>223.4</c:v>
                </c:pt>
                <c:pt idx="1">
                  <c:v>204</c:v>
                </c:pt>
                <c:pt idx="2">
                  <c:v>264.39999999999998</c:v>
                </c:pt>
                <c:pt idx="3">
                  <c:v>397</c:v>
                </c:pt>
                <c:pt idx="4">
                  <c:v>190.42</c:v>
                </c:pt>
                <c:pt idx="5">
                  <c:v>99.2</c:v>
                </c:pt>
                <c:pt idx="6">
                  <c:v>400</c:v>
                </c:pt>
                <c:pt idx="7">
                  <c:v>200</c:v>
                </c:pt>
                <c:pt idx="8">
                  <c:v>186</c:v>
                </c:pt>
                <c:pt idx="9">
                  <c:v>192</c:v>
                </c:pt>
                <c:pt idx="10">
                  <c:v>186</c:v>
                </c:pt>
                <c:pt idx="11">
                  <c:v>195</c:v>
                </c:pt>
                <c:pt idx="12">
                  <c:v>147</c:v>
                </c:pt>
                <c:pt idx="13">
                  <c:v>99</c:v>
                </c:pt>
                <c:pt idx="14">
                  <c:v>80</c:v>
                </c:pt>
                <c:pt idx="15">
                  <c:v>80</c:v>
                </c:pt>
                <c:pt idx="16">
                  <c:v>347</c:v>
                </c:pt>
                <c:pt idx="17">
                  <c:v>300</c:v>
                </c:pt>
                <c:pt idx="18">
                  <c:v>270</c:v>
                </c:pt>
              </c:numCache>
            </c:numRef>
          </c:xVal>
          <c:yVal>
            <c:numRef>
              <c:f>'Container ships'!$F$147:$F$165</c:f>
              <c:numCache>
                <c:formatCode>General</c:formatCode>
                <c:ptCount val="19"/>
                <c:pt idx="0" formatCode="0.00">
                  <c:v>26.4</c:v>
                </c:pt>
                <c:pt idx="1">
                  <c:v>19.899999999999999</c:v>
                </c:pt>
                <c:pt idx="2">
                  <c:v>25</c:v>
                </c:pt>
                <c:pt idx="3">
                  <c:v>25.5</c:v>
                </c:pt>
                <c:pt idx="4">
                  <c:v>21.7</c:v>
                </c:pt>
                <c:pt idx="5">
                  <c:v>14</c:v>
                </c:pt>
                <c:pt idx="6">
                  <c:v>20</c:v>
                </c:pt>
                <c:pt idx="7">
                  <c:v>15</c:v>
                </c:pt>
                <c:pt idx="8">
                  <c:v>19.100000000000001</c:v>
                </c:pt>
                <c:pt idx="9">
                  <c:v>13</c:v>
                </c:pt>
                <c:pt idx="10">
                  <c:v>18</c:v>
                </c:pt>
                <c:pt idx="11">
                  <c:v>12</c:v>
                </c:pt>
                <c:pt idx="12">
                  <c:v>16.399999999999999</c:v>
                </c:pt>
                <c:pt idx="13">
                  <c:v>12</c:v>
                </c:pt>
                <c:pt idx="14">
                  <c:v>12</c:v>
                </c:pt>
                <c:pt idx="15">
                  <c:v>10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C36-41F6-B4E5-EC166828393A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76200">
                <a:solidFill>
                  <a:srgbClr val="FF0000"/>
                </a:solidFill>
              </a:ln>
              <a:effectLst/>
            </c:spPr>
          </c:marker>
          <c:xVal>
            <c:numRef>
              <c:f>'Container ships'!$B$3</c:f>
              <c:numCache>
                <c:formatCode>General</c:formatCode>
                <c:ptCount val="1"/>
                <c:pt idx="0">
                  <c:v>280</c:v>
                </c:pt>
              </c:numCache>
            </c:numRef>
          </c:xVal>
          <c:yVal>
            <c:numRef>
              <c:f>'Container ships'!$B$9</c:f>
              <c:numCache>
                <c:formatCode>General</c:formatCode>
                <c:ptCount val="1"/>
                <c:pt idx="0">
                  <c:v>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C36-41F6-B4E5-EC1668283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590856"/>
        <c:axId val="5247880"/>
      </c:scatterChart>
      <c:valAx>
        <c:axId val="220590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Lbp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7880"/>
        <c:crosses val="autoZero"/>
        <c:crossBetween val="midCat"/>
      </c:valAx>
      <c:valAx>
        <c:axId val="524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Velocity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590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forward val="40"/>
            <c:backward val="40"/>
            <c:dispRSqr val="0"/>
            <c:dispEq val="0"/>
          </c:trendline>
          <c:xVal>
            <c:numRef>
              <c:f>'Container ships'!$G$147:$G$167</c:f>
              <c:numCache>
                <c:formatCode>General</c:formatCode>
                <c:ptCount val="21"/>
                <c:pt idx="0" formatCode="0.00">
                  <c:v>223.4</c:v>
                </c:pt>
                <c:pt idx="1">
                  <c:v>204</c:v>
                </c:pt>
                <c:pt idx="2">
                  <c:v>264.39999999999998</c:v>
                </c:pt>
                <c:pt idx="3">
                  <c:v>397</c:v>
                </c:pt>
                <c:pt idx="4">
                  <c:v>190.42</c:v>
                </c:pt>
                <c:pt idx="5">
                  <c:v>99.2</c:v>
                </c:pt>
                <c:pt idx="6">
                  <c:v>400</c:v>
                </c:pt>
                <c:pt idx="7">
                  <c:v>200</c:v>
                </c:pt>
                <c:pt idx="8">
                  <c:v>186</c:v>
                </c:pt>
                <c:pt idx="9">
                  <c:v>192</c:v>
                </c:pt>
                <c:pt idx="10">
                  <c:v>186</c:v>
                </c:pt>
                <c:pt idx="11">
                  <c:v>195</c:v>
                </c:pt>
                <c:pt idx="12">
                  <c:v>147</c:v>
                </c:pt>
                <c:pt idx="13">
                  <c:v>99</c:v>
                </c:pt>
                <c:pt idx="14">
                  <c:v>80</c:v>
                </c:pt>
                <c:pt idx="15">
                  <c:v>80</c:v>
                </c:pt>
                <c:pt idx="16">
                  <c:v>347</c:v>
                </c:pt>
                <c:pt idx="17">
                  <c:v>300</c:v>
                </c:pt>
                <c:pt idx="18">
                  <c:v>270</c:v>
                </c:pt>
              </c:numCache>
            </c:numRef>
          </c:xVal>
          <c:yVal>
            <c:numRef>
              <c:f>'Container ships'!$I$147:$I$167</c:f>
              <c:numCache>
                <c:formatCode>General</c:formatCode>
                <c:ptCount val="21"/>
                <c:pt idx="0" formatCode="0.00">
                  <c:v>9.9</c:v>
                </c:pt>
                <c:pt idx="1">
                  <c:v>10.78</c:v>
                </c:pt>
                <c:pt idx="2">
                  <c:v>14</c:v>
                </c:pt>
                <c:pt idx="3">
                  <c:v>15.5</c:v>
                </c:pt>
                <c:pt idx="4">
                  <c:v>7.8</c:v>
                </c:pt>
                <c:pt idx="5">
                  <c:v>6.5</c:v>
                </c:pt>
                <c:pt idx="6">
                  <c:v>16.2</c:v>
                </c:pt>
                <c:pt idx="7">
                  <c:v>12</c:v>
                </c:pt>
                <c:pt idx="8">
                  <c:v>9.6</c:v>
                </c:pt>
                <c:pt idx="9">
                  <c:v>11</c:v>
                </c:pt>
                <c:pt idx="10">
                  <c:v>10.7</c:v>
                </c:pt>
                <c:pt idx="11">
                  <c:v>11</c:v>
                </c:pt>
                <c:pt idx="12">
                  <c:v>9</c:v>
                </c:pt>
                <c:pt idx="13">
                  <c:v>7</c:v>
                </c:pt>
                <c:pt idx="14">
                  <c:v>7</c:v>
                </c:pt>
                <c:pt idx="15">
                  <c:v>4.0999999999999996</c:v>
                </c:pt>
                <c:pt idx="16">
                  <c:v>15</c:v>
                </c:pt>
                <c:pt idx="17">
                  <c:v>13</c:v>
                </c:pt>
                <c:pt idx="18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44E-4DA4-A3B0-3C24FD5570C4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76200">
                <a:solidFill>
                  <a:srgbClr val="FF0000"/>
                </a:solidFill>
              </a:ln>
              <a:effectLst/>
            </c:spPr>
          </c:marker>
          <c:xVal>
            <c:numRef>
              <c:f>'Container ships'!$B$3</c:f>
              <c:numCache>
                <c:formatCode>General</c:formatCode>
                <c:ptCount val="1"/>
                <c:pt idx="0">
                  <c:v>280</c:v>
                </c:pt>
              </c:numCache>
            </c:numRef>
          </c:xVal>
          <c:yVal>
            <c:numRef>
              <c:f>'Container ships'!$B$5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44E-4DA4-A3B0-3C24FD557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126880"/>
        <c:axId val="221127272"/>
      </c:scatterChart>
      <c:valAx>
        <c:axId val="221126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Lbp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127272"/>
        <c:crosses val="autoZero"/>
        <c:crossBetween val="midCat"/>
      </c:valAx>
      <c:valAx>
        <c:axId val="221127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T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126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'Container ships'!$O$147:$O$165</c:f>
              <c:numCache>
                <c:formatCode>General</c:formatCode>
                <c:ptCount val="19"/>
                <c:pt idx="0">
                  <c:v>0.29011241905889407</c:v>
                </c:pt>
                <c:pt idx="1">
                  <c:v>0.22884528589053593</c:v>
                </c:pt>
                <c:pt idx="2">
                  <c:v>0.25253016421925928</c:v>
                </c:pt>
                <c:pt idx="3">
                  <c:v>0.21020783773339133</c:v>
                </c:pt>
                <c:pt idx="4">
                  <c:v>0.25828990427608145</c:v>
                </c:pt>
                <c:pt idx="5">
                  <c:v>0.23087461141596874</c:v>
                </c:pt>
                <c:pt idx="6">
                  <c:v>0.16424947039162707</c:v>
                </c:pt>
                <c:pt idx="7">
                  <c:v>0.17421287148032782</c:v>
                </c:pt>
                <c:pt idx="8">
                  <c:v>0.23002808982765022</c:v>
                </c:pt>
                <c:pt idx="9">
                  <c:v>0.15409789841039648</c:v>
                </c:pt>
                <c:pt idx="10">
                  <c:v>0.21678039879045571</c:v>
                </c:pt>
                <c:pt idx="11">
                  <c:v>0.1411457865606523</c:v>
                </c:pt>
                <c:pt idx="12">
                  <c:v>0.22217191507081335</c:v>
                </c:pt>
                <c:pt idx="13">
                  <c:v>0.19809231465586022</c:v>
                </c:pt>
                <c:pt idx="14">
                  <c:v>0.2203637886384103</c:v>
                </c:pt>
                <c:pt idx="15">
                  <c:v>0.18363649053200859</c:v>
                </c:pt>
                <c:pt idx="16">
                  <c:v>0.17634747113337187</c:v>
                </c:pt>
                <c:pt idx="17">
                  <c:v>0.18965895188971871</c:v>
                </c:pt>
                <c:pt idx="18">
                  <c:v>0.19991808887060233</c:v>
                </c:pt>
              </c:numCache>
            </c:numRef>
          </c:xVal>
          <c:yVal>
            <c:numRef>
              <c:f>'Container ships'!$S$147:$S$165</c:f>
              <c:numCache>
                <c:formatCode>General</c:formatCode>
                <c:ptCount val="19"/>
                <c:pt idx="0">
                  <c:v>7.4466666666666672</c:v>
                </c:pt>
                <c:pt idx="1">
                  <c:v>6.3354037267080736</c:v>
                </c:pt>
                <c:pt idx="2">
                  <c:v>6.6099999999999994</c:v>
                </c:pt>
                <c:pt idx="3">
                  <c:v>7.0390070921985819</c:v>
                </c:pt>
                <c:pt idx="4">
                  <c:v>6.1425806451612903</c:v>
                </c:pt>
                <c:pt idx="5">
                  <c:v>4.6139534883720934</c:v>
                </c:pt>
                <c:pt idx="6">
                  <c:v>6.557377049180328</c:v>
                </c:pt>
                <c:pt idx="7">
                  <c:v>5.7142857142857144</c:v>
                </c:pt>
                <c:pt idx="8">
                  <c:v>5.166666666666667</c:v>
                </c:pt>
                <c:pt idx="9">
                  <c:v>6</c:v>
                </c:pt>
                <c:pt idx="10">
                  <c:v>5.3142857142857141</c:v>
                </c:pt>
                <c:pt idx="11">
                  <c:v>6.09375</c:v>
                </c:pt>
                <c:pt idx="12">
                  <c:v>5.88</c:v>
                </c:pt>
                <c:pt idx="13">
                  <c:v>5.5</c:v>
                </c:pt>
                <c:pt idx="14">
                  <c:v>5</c:v>
                </c:pt>
                <c:pt idx="15">
                  <c:v>5.7142857142857144</c:v>
                </c:pt>
                <c:pt idx="16">
                  <c:v>7.7111111111111112</c:v>
                </c:pt>
                <c:pt idx="17">
                  <c:v>6.25</c:v>
                </c:pt>
                <c:pt idx="18">
                  <c:v>6.2790697674418601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14-48DC-B09C-AAABCA8D7305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76200">
                <a:solidFill>
                  <a:srgbClr val="FF0000"/>
                </a:solidFill>
              </a:ln>
              <a:effectLst/>
            </c:spPr>
          </c:marker>
          <c:xVal>
            <c:numRef>
              <c:f>'Container ships'!$B$17</c:f>
              <c:numCache>
                <c:formatCode>General</c:formatCode>
                <c:ptCount val="1"/>
                <c:pt idx="0">
                  <c:v>0.1766840994720856</c:v>
                </c:pt>
              </c:numCache>
            </c:numRef>
          </c:xVal>
          <c:yVal>
            <c:numRef>
              <c:f>'Container ships'!$B$13</c:f>
              <c:numCache>
                <c:formatCode>General</c:formatCode>
                <c:ptCount val="1"/>
                <c:pt idx="0">
                  <c:v>7.5675675675675675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A14-48DC-B09C-AAABCA8D7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183104"/>
        <c:axId val="221183496"/>
      </c:scatterChart>
      <c:valAx>
        <c:axId val="221183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183496"/>
        <c:crosses val="autoZero"/>
        <c:crossBetween val="midCat"/>
      </c:valAx>
      <c:valAx>
        <c:axId val="221183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L/B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183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'Container ships'!$O$147:$O$165</c:f>
              <c:numCache>
                <c:formatCode>General</c:formatCode>
                <c:ptCount val="19"/>
                <c:pt idx="0">
                  <c:v>0.29011241905889407</c:v>
                </c:pt>
                <c:pt idx="1">
                  <c:v>0.22884528589053593</c:v>
                </c:pt>
                <c:pt idx="2">
                  <c:v>0.25253016421925928</c:v>
                </c:pt>
                <c:pt idx="3">
                  <c:v>0.21020783773339133</c:v>
                </c:pt>
                <c:pt idx="4">
                  <c:v>0.25828990427608145</c:v>
                </c:pt>
                <c:pt idx="5">
                  <c:v>0.23087461141596874</c:v>
                </c:pt>
                <c:pt idx="6">
                  <c:v>0.16424947039162707</c:v>
                </c:pt>
                <c:pt idx="7">
                  <c:v>0.17421287148032782</c:v>
                </c:pt>
                <c:pt idx="8">
                  <c:v>0.23002808982765022</c:v>
                </c:pt>
                <c:pt idx="9">
                  <c:v>0.15409789841039648</c:v>
                </c:pt>
                <c:pt idx="10">
                  <c:v>0.21678039879045571</c:v>
                </c:pt>
                <c:pt idx="11">
                  <c:v>0.1411457865606523</c:v>
                </c:pt>
                <c:pt idx="12">
                  <c:v>0.22217191507081335</c:v>
                </c:pt>
                <c:pt idx="13">
                  <c:v>0.19809231465586022</c:v>
                </c:pt>
                <c:pt idx="14">
                  <c:v>0.2203637886384103</c:v>
                </c:pt>
                <c:pt idx="15">
                  <c:v>0.18363649053200859</c:v>
                </c:pt>
                <c:pt idx="16">
                  <c:v>0.17634747113337187</c:v>
                </c:pt>
                <c:pt idx="17">
                  <c:v>0.18965895188971871</c:v>
                </c:pt>
                <c:pt idx="18">
                  <c:v>0.19991808887060233</c:v>
                </c:pt>
              </c:numCache>
            </c:numRef>
          </c:xVal>
          <c:yVal>
            <c:numRef>
              <c:f>'Container ships'!$R$147:$R$165</c:f>
              <c:numCache>
                <c:formatCode>General</c:formatCode>
                <c:ptCount val="19"/>
                <c:pt idx="0">
                  <c:v>3.0303030303030303</c:v>
                </c:pt>
                <c:pt idx="1">
                  <c:v>2.9870129870129873</c:v>
                </c:pt>
                <c:pt idx="3">
                  <c:v>3.6387096774193548</c:v>
                </c:pt>
                <c:pt idx="4">
                  <c:v>3.9743589743589745</c:v>
                </c:pt>
                <c:pt idx="5">
                  <c:v>3.3076923076923075</c:v>
                </c:pt>
                <c:pt idx="6">
                  <c:v>3.7654320987654324</c:v>
                </c:pt>
                <c:pt idx="7">
                  <c:v>2.9166666666666665</c:v>
                </c:pt>
                <c:pt idx="8">
                  <c:v>3.75</c:v>
                </c:pt>
                <c:pt idx="9">
                  <c:v>2.9090909090909092</c:v>
                </c:pt>
                <c:pt idx="10">
                  <c:v>3.2710280373831777</c:v>
                </c:pt>
                <c:pt idx="11">
                  <c:v>2.9090909090909092</c:v>
                </c:pt>
                <c:pt idx="12">
                  <c:v>2.7777777777777777</c:v>
                </c:pt>
                <c:pt idx="13">
                  <c:v>2.5714285714285716</c:v>
                </c:pt>
                <c:pt idx="14">
                  <c:v>2.2857142857142856</c:v>
                </c:pt>
                <c:pt idx="15">
                  <c:v>3.4146341463414638</c:v>
                </c:pt>
                <c:pt idx="16">
                  <c:v>3</c:v>
                </c:pt>
                <c:pt idx="17">
                  <c:v>3.6923076923076925</c:v>
                </c:pt>
                <c:pt idx="18">
                  <c:v>3.0714285714285716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D1D-44DE-A9DA-DF51908E77B8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76200">
                <a:solidFill>
                  <a:srgbClr val="FF0000"/>
                </a:solidFill>
              </a:ln>
              <a:effectLst/>
            </c:spPr>
          </c:marker>
          <c:xVal>
            <c:numRef>
              <c:f>'Container ships'!$B$17</c:f>
              <c:numCache>
                <c:formatCode>General</c:formatCode>
                <c:ptCount val="1"/>
                <c:pt idx="0">
                  <c:v>0.1766840994720856</c:v>
                </c:pt>
              </c:numCache>
            </c:numRef>
          </c:xVal>
          <c:yVal>
            <c:numRef>
              <c:f>'Container ships'!$B$14</c:f>
              <c:numCache>
                <c:formatCode>General</c:formatCode>
                <c:ptCount val="1"/>
                <c:pt idx="0">
                  <c:v>4.625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D1D-44DE-A9DA-DF51908E7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183104"/>
        <c:axId val="221183496"/>
      </c:scatterChart>
      <c:valAx>
        <c:axId val="221183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183496"/>
        <c:crosses val="autoZero"/>
        <c:crossBetween val="midCat"/>
      </c:valAx>
      <c:valAx>
        <c:axId val="221183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183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0"/>
          </c:trendline>
          <c:xVal>
            <c:numRef>
              <c:f>Cruise!$I$104:$I$342</c:f>
              <c:numCache>
                <c:formatCode>General</c:formatCode>
                <c:ptCount val="239"/>
                <c:pt idx="0">
                  <c:v>339</c:v>
                </c:pt>
                <c:pt idx="1">
                  <c:v>362</c:v>
                </c:pt>
                <c:pt idx="2">
                  <c:v>310</c:v>
                </c:pt>
                <c:pt idx="3">
                  <c:v>253.3</c:v>
                </c:pt>
                <c:pt idx="4">
                  <c:v>362</c:v>
                </c:pt>
                <c:pt idx="5">
                  <c:v>362</c:v>
                </c:pt>
                <c:pt idx="6">
                  <c:v>348</c:v>
                </c:pt>
                <c:pt idx="7">
                  <c:v>181</c:v>
                </c:pt>
                <c:pt idx="8">
                  <c:v>290</c:v>
                </c:pt>
                <c:pt idx="9">
                  <c:v>306</c:v>
                </c:pt>
                <c:pt idx="10">
                  <c:v>290</c:v>
                </c:pt>
                <c:pt idx="11">
                  <c:v>272</c:v>
                </c:pt>
                <c:pt idx="12">
                  <c:v>306</c:v>
                </c:pt>
                <c:pt idx="13">
                  <c:v>308</c:v>
                </c:pt>
                <c:pt idx="14">
                  <c:v>260.60000000000002</c:v>
                </c:pt>
                <c:pt idx="15">
                  <c:v>290</c:v>
                </c:pt>
                <c:pt idx="16">
                  <c:v>292.5</c:v>
                </c:pt>
                <c:pt idx="17">
                  <c:v>306</c:v>
                </c:pt>
                <c:pt idx="18">
                  <c:v>305</c:v>
                </c:pt>
                <c:pt idx="19">
                  <c:v>324</c:v>
                </c:pt>
                <c:pt idx="20">
                  <c:v>246</c:v>
                </c:pt>
                <c:pt idx="21">
                  <c:v>263.89999999999998</c:v>
                </c:pt>
                <c:pt idx="22">
                  <c:v>319</c:v>
                </c:pt>
                <c:pt idx="23">
                  <c:v>315</c:v>
                </c:pt>
                <c:pt idx="24">
                  <c:v>319</c:v>
                </c:pt>
                <c:pt idx="25">
                  <c:v>315</c:v>
                </c:pt>
                <c:pt idx="26">
                  <c:v>319</c:v>
                </c:pt>
                <c:pt idx="27">
                  <c:v>88.5</c:v>
                </c:pt>
                <c:pt idx="28">
                  <c:v>191</c:v>
                </c:pt>
                <c:pt idx="29">
                  <c:v>100.01</c:v>
                </c:pt>
                <c:pt idx="30">
                  <c:v>104</c:v>
                </c:pt>
                <c:pt idx="31">
                  <c:v>104</c:v>
                </c:pt>
                <c:pt idx="32">
                  <c:v>90.220800000000011</c:v>
                </c:pt>
                <c:pt idx="33">
                  <c:v>223.7</c:v>
                </c:pt>
                <c:pt idx="34">
                  <c:v>294</c:v>
                </c:pt>
                <c:pt idx="35">
                  <c:v>91</c:v>
                </c:pt>
                <c:pt idx="36">
                  <c:v>250</c:v>
                </c:pt>
                <c:pt idx="37">
                  <c:v>250</c:v>
                </c:pt>
                <c:pt idx="38">
                  <c:v>238</c:v>
                </c:pt>
                <c:pt idx="39">
                  <c:v>261.3</c:v>
                </c:pt>
                <c:pt idx="40">
                  <c:v>290</c:v>
                </c:pt>
                <c:pt idx="41">
                  <c:v>340</c:v>
                </c:pt>
                <c:pt idx="42">
                  <c:v>340</c:v>
                </c:pt>
                <c:pt idx="43">
                  <c:v>340</c:v>
                </c:pt>
                <c:pt idx="44">
                  <c:v>88.3</c:v>
                </c:pt>
                <c:pt idx="45">
                  <c:v>290</c:v>
                </c:pt>
                <c:pt idx="46">
                  <c:v>301.8</c:v>
                </c:pt>
                <c:pt idx="47">
                  <c:v>218.8</c:v>
                </c:pt>
                <c:pt idx="48">
                  <c:v>310</c:v>
                </c:pt>
                <c:pt idx="49">
                  <c:v>311</c:v>
                </c:pt>
                <c:pt idx="50">
                  <c:v>188.3</c:v>
                </c:pt>
                <c:pt idx="51">
                  <c:v>216.8</c:v>
                </c:pt>
                <c:pt idx="52">
                  <c:v>339</c:v>
                </c:pt>
                <c:pt idx="53">
                  <c:v>89.35</c:v>
                </c:pt>
                <c:pt idx="54">
                  <c:v>212.1</c:v>
                </c:pt>
                <c:pt idx="55">
                  <c:v>335.3</c:v>
                </c:pt>
                <c:pt idx="56">
                  <c:v>362.12</c:v>
                </c:pt>
                <c:pt idx="57">
                  <c:v>333.33</c:v>
                </c:pt>
                <c:pt idx="58">
                  <c:v>108.2</c:v>
                </c:pt>
                <c:pt idx="59">
                  <c:v>339</c:v>
                </c:pt>
                <c:pt idx="60">
                  <c:v>339</c:v>
                </c:pt>
                <c:pt idx="61">
                  <c:v>208.48320000000001</c:v>
                </c:pt>
                <c:pt idx="62">
                  <c:v>171.2</c:v>
                </c:pt>
                <c:pt idx="63">
                  <c:v>90</c:v>
                </c:pt>
                <c:pt idx="64">
                  <c:v>293.2</c:v>
                </c:pt>
                <c:pt idx="65">
                  <c:v>297</c:v>
                </c:pt>
                <c:pt idx="66">
                  <c:v>142</c:v>
                </c:pt>
                <c:pt idx="67">
                  <c:v>100</c:v>
                </c:pt>
                <c:pt idx="68">
                  <c:v>339</c:v>
                </c:pt>
                <c:pt idx="69">
                  <c:v>339</c:v>
                </c:pt>
                <c:pt idx="70">
                  <c:v>330</c:v>
                </c:pt>
                <c:pt idx="71">
                  <c:v>268.2</c:v>
                </c:pt>
                <c:pt idx="72">
                  <c:v>251</c:v>
                </c:pt>
                <c:pt idx="73">
                  <c:v>216</c:v>
                </c:pt>
                <c:pt idx="74">
                  <c:v>310</c:v>
                </c:pt>
                <c:pt idx="75">
                  <c:v>296</c:v>
                </c:pt>
                <c:pt idx="76">
                  <c:v>315.8</c:v>
                </c:pt>
                <c:pt idx="77">
                  <c:v>111</c:v>
                </c:pt>
                <c:pt idx="78">
                  <c:v>200</c:v>
                </c:pt>
                <c:pt idx="79">
                  <c:v>122.8</c:v>
                </c:pt>
                <c:pt idx="80">
                  <c:v>333</c:v>
                </c:pt>
                <c:pt idx="81">
                  <c:v>333</c:v>
                </c:pt>
                <c:pt idx="82">
                  <c:v>333</c:v>
                </c:pt>
                <c:pt idx="83">
                  <c:v>333</c:v>
                </c:pt>
                <c:pt idx="84">
                  <c:v>333</c:v>
                </c:pt>
                <c:pt idx="85">
                  <c:v>333</c:v>
                </c:pt>
                <c:pt idx="86">
                  <c:v>333</c:v>
                </c:pt>
                <c:pt idx="87">
                  <c:v>135</c:v>
                </c:pt>
                <c:pt idx="88">
                  <c:v>112</c:v>
                </c:pt>
                <c:pt idx="89">
                  <c:v>181</c:v>
                </c:pt>
                <c:pt idx="90">
                  <c:v>170.69</c:v>
                </c:pt>
                <c:pt idx="91">
                  <c:v>310</c:v>
                </c:pt>
                <c:pt idx="92">
                  <c:v>154.4</c:v>
                </c:pt>
                <c:pt idx="93">
                  <c:v>324</c:v>
                </c:pt>
                <c:pt idx="94">
                  <c:v>325</c:v>
                </c:pt>
                <c:pt idx="95">
                  <c:v>329</c:v>
                </c:pt>
                <c:pt idx="96">
                  <c:v>325.89999999999998</c:v>
                </c:pt>
                <c:pt idx="97">
                  <c:v>325.7</c:v>
                </c:pt>
                <c:pt idx="98">
                  <c:v>333.5</c:v>
                </c:pt>
                <c:pt idx="99">
                  <c:v>124.19</c:v>
                </c:pt>
                <c:pt idx="100">
                  <c:v>198.19</c:v>
                </c:pt>
                <c:pt idx="101">
                  <c:v>102.7</c:v>
                </c:pt>
                <c:pt idx="102">
                  <c:v>347.77680000000004</c:v>
                </c:pt>
                <c:pt idx="103">
                  <c:v>294</c:v>
                </c:pt>
                <c:pt idx="104">
                  <c:v>294</c:v>
                </c:pt>
                <c:pt idx="105">
                  <c:v>345</c:v>
                </c:pt>
                <c:pt idx="106">
                  <c:v>294</c:v>
                </c:pt>
                <c:pt idx="107">
                  <c:v>198</c:v>
                </c:pt>
                <c:pt idx="108">
                  <c:v>330</c:v>
                </c:pt>
                <c:pt idx="109">
                  <c:v>181</c:v>
                </c:pt>
                <c:pt idx="110">
                  <c:v>251</c:v>
                </c:pt>
                <c:pt idx="111">
                  <c:v>136.12</c:v>
                </c:pt>
                <c:pt idx="112">
                  <c:v>330</c:v>
                </c:pt>
                <c:pt idx="113">
                  <c:v>181</c:v>
                </c:pt>
                <c:pt idx="114">
                  <c:v>329</c:v>
                </c:pt>
                <c:pt idx="115">
                  <c:v>154.41</c:v>
                </c:pt>
                <c:pt idx="116">
                  <c:v>135</c:v>
                </c:pt>
                <c:pt idx="117">
                  <c:v>198</c:v>
                </c:pt>
                <c:pt idx="118">
                  <c:v>134.1</c:v>
                </c:pt>
                <c:pt idx="119">
                  <c:v>104.81</c:v>
                </c:pt>
                <c:pt idx="120">
                  <c:v>224</c:v>
                </c:pt>
                <c:pt idx="121">
                  <c:v>170.6</c:v>
                </c:pt>
                <c:pt idx="122">
                  <c:v>204.1</c:v>
                </c:pt>
                <c:pt idx="123">
                  <c:v>232.86720000000003</c:v>
                </c:pt>
                <c:pt idx="124">
                  <c:v>202</c:v>
                </c:pt>
                <c:pt idx="125">
                  <c:v>203.03</c:v>
                </c:pt>
                <c:pt idx="126">
                  <c:v>108</c:v>
                </c:pt>
                <c:pt idx="127">
                  <c:v>196</c:v>
                </c:pt>
                <c:pt idx="128">
                  <c:v>198</c:v>
                </c:pt>
                <c:pt idx="129">
                  <c:v>329.18400000000003</c:v>
                </c:pt>
                <c:pt idx="130">
                  <c:v>90</c:v>
                </c:pt>
                <c:pt idx="131">
                  <c:v>264.2</c:v>
                </c:pt>
                <c:pt idx="132">
                  <c:v>268.60000000000002</c:v>
                </c:pt>
                <c:pt idx="133">
                  <c:v>194</c:v>
                </c:pt>
                <c:pt idx="134">
                  <c:v>228.2</c:v>
                </c:pt>
                <c:pt idx="135">
                  <c:v>228</c:v>
                </c:pt>
                <c:pt idx="136">
                  <c:v>279</c:v>
                </c:pt>
                <c:pt idx="137">
                  <c:v>206.5</c:v>
                </c:pt>
                <c:pt idx="138">
                  <c:v>310</c:v>
                </c:pt>
                <c:pt idx="139">
                  <c:v>232.86720000000003</c:v>
                </c:pt>
                <c:pt idx="140">
                  <c:v>90.220800000000011</c:v>
                </c:pt>
                <c:pt idx="141">
                  <c:v>186.02</c:v>
                </c:pt>
              </c:numCache>
            </c:numRef>
          </c:xVal>
          <c:yVal>
            <c:numRef>
              <c:f>Cruise!$AD$104:$AD$342</c:f>
              <c:numCache>
                <c:formatCode>General</c:formatCode>
                <c:ptCount val="239"/>
                <c:pt idx="0">
                  <c:v>0.19177383773299378</c:v>
                </c:pt>
                <c:pt idx="1">
                  <c:v>0.19417334453130139</c:v>
                </c:pt>
                <c:pt idx="2">
                  <c:v>0.20889936915619484</c:v>
                </c:pt>
                <c:pt idx="3">
                  <c:v>0.23623579218741944</c:v>
                </c:pt>
                <c:pt idx="4">
                  <c:v>0.19417334453130139</c:v>
                </c:pt>
                <c:pt idx="5">
                  <c:v>0.32051220967124039</c:v>
                </c:pt>
                <c:pt idx="6">
                  <c:v>0.19374134089527265</c:v>
                </c:pt>
                <c:pt idx="7">
                  <c:v>0.21871001730863635</c:v>
                </c:pt>
                <c:pt idx="8">
                  <c:v>0.21118308953121082</c:v>
                </c:pt>
                <c:pt idx="9">
                  <c:v>0.21026029149149769</c:v>
                </c:pt>
                <c:pt idx="10">
                  <c:v>0.20158385818888308</c:v>
                </c:pt>
                <c:pt idx="11">
                  <c:v>0.19823530390386421</c:v>
                </c:pt>
                <c:pt idx="12">
                  <c:v>0.21026029149149769</c:v>
                </c:pt>
                <c:pt idx="13">
                  <c:v>0.25287444250112412</c:v>
                </c:pt>
                <c:pt idx="14">
                  <c:v>0.21265105728338976</c:v>
                </c:pt>
                <c:pt idx="15">
                  <c:v>0.20158385818888308</c:v>
                </c:pt>
                <c:pt idx="16">
                  <c:v>0.21027866100893008</c:v>
                </c:pt>
                <c:pt idx="17">
                  <c:v>0.21026029149149769</c:v>
                </c:pt>
                <c:pt idx="18">
                  <c:v>0.29250652558915807</c:v>
                </c:pt>
                <c:pt idx="19">
                  <c:v>0.21160865893867289</c:v>
                </c:pt>
                <c:pt idx="20">
                  <c:v>0.22408168608878659</c:v>
                </c:pt>
                <c:pt idx="21">
                  <c:v>0.21634866619748164</c:v>
                </c:pt>
                <c:pt idx="22">
                  <c:v>0.15284688310606867</c:v>
                </c:pt>
                <c:pt idx="23">
                  <c:v>0.22105045954436184</c:v>
                </c:pt>
                <c:pt idx="24">
                  <c:v>0.30210426699248694</c:v>
                </c:pt>
                <c:pt idx="25">
                  <c:v>0.23026089535871025</c:v>
                </c:pt>
                <c:pt idx="26">
                  <c:v>0.28422827486275404</c:v>
                </c:pt>
                <c:pt idx="27">
                  <c:v>0.26064841059555832</c:v>
                </c:pt>
                <c:pt idx="28">
                  <c:v>0.25430636697179176</c:v>
                </c:pt>
                <c:pt idx="29">
                  <c:v>0.19615301580768041</c:v>
                </c:pt>
                <c:pt idx="30">
                  <c:v>0.22441238602058289</c:v>
                </c:pt>
                <c:pt idx="31">
                  <c:v>0.22441238602058289</c:v>
                </c:pt>
                <c:pt idx="32">
                  <c:v>0.35280601553309021</c:v>
                </c:pt>
                <c:pt idx="33">
                  <c:v>0.24045020189091543</c:v>
                </c:pt>
                <c:pt idx="34">
                  <c:v>0.22880896351254673</c:v>
                </c:pt>
                <c:pt idx="35">
                  <c:v>0.2347660691259891</c:v>
                </c:pt>
                <c:pt idx="36">
                  <c:v>0.22745114832108235</c:v>
                </c:pt>
                <c:pt idx="37">
                  <c:v>0.22745114832108235</c:v>
                </c:pt>
                <c:pt idx="38">
                  <c:v>0.22251857675138123</c:v>
                </c:pt>
                <c:pt idx="39">
                  <c:v>0.21236602940976612</c:v>
                </c:pt>
                <c:pt idx="40">
                  <c:v>0.20158385818888308</c:v>
                </c:pt>
                <c:pt idx="41">
                  <c:v>0.1950377506305227</c:v>
                </c:pt>
                <c:pt idx="42">
                  <c:v>0.1950377506305227</c:v>
                </c:pt>
                <c:pt idx="43">
                  <c:v>0.18354049686466092</c:v>
                </c:pt>
                <c:pt idx="44">
                  <c:v>0.26964154298854281</c:v>
                </c:pt>
                <c:pt idx="45">
                  <c:v>0.20638347386004696</c:v>
                </c:pt>
                <c:pt idx="46">
                  <c:v>0.2070134295972465</c:v>
                </c:pt>
                <c:pt idx="47">
                  <c:v>0.27628150120582423</c:v>
                </c:pt>
                <c:pt idx="48">
                  <c:v>0.22004066884452522</c:v>
                </c:pt>
                <c:pt idx="49">
                  <c:v>0.30596518104177289</c:v>
                </c:pt>
                <c:pt idx="50">
                  <c:v>0.26207945569000185</c:v>
                </c:pt>
                <c:pt idx="51">
                  <c:v>0.27755293682764109</c:v>
                </c:pt>
                <c:pt idx="52">
                  <c:v>0.19177383773299378</c:v>
                </c:pt>
                <c:pt idx="53">
                  <c:v>0.2680525092545481</c:v>
                </c:pt>
                <c:pt idx="54">
                  <c:v>0.24693793032656736</c:v>
                </c:pt>
                <c:pt idx="55">
                  <c:v>0.18830960616700107</c:v>
                </c:pt>
                <c:pt idx="56">
                  <c:v>0.18992654471865639</c:v>
                </c:pt>
                <c:pt idx="57">
                  <c:v>0.20414234682814006</c:v>
                </c:pt>
                <c:pt idx="58">
                  <c:v>0.25930194304761078</c:v>
                </c:pt>
                <c:pt idx="59">
                  <c:v>0.19177383773299378</c:v>
                </c:pt>
                <c:pt idx="60">
                  <c:v>0.34334508708706568</c:v>
                </c:pt>
                <c:pt idx="61">
                  <c:v>0.20378510156868146</c:v>
                </c:pt>
                <c:pt idx="62">
                  <c:v>0.26860991352173547</c:v>
                </c:pt>
                <c:pt idx="63">
                  <c:v>0.13957229556066417</c:v>
                </c:pt>
                <c:pt idx="64">
                  <c:v>0.22912090498461177</c:v>
                </c:pt>
                <c:pt idx="65">
                  <c:v>0.17155297678643538</c:v>
                </c:pt>
                <c:pt idx="66">
                  <c:v>0.21948824590859134</c:v>
                </c:pt>
                <c:pt idx="67">
                  <c:v>0.22885662708217377</c:v>
                </c:pt>
                <c:pt idx="68">
                  <c:v>0.19177383773299378</c:v>
                </c:pt>
                <c:pt idx="69">
                  <c:v>0.31213189735187785</c:v>
                </c:pt>
                <c:pt idx="70">
                  <c:v>0.19860353294081731</c:v>
                </c:pt>
                <c:pt idx="71">
                  <c:v>0.21460731965100405</c:v>
                </c:pt>
                <c:pt idx="72">
                  <c:v>0.20636146018015603</c:v>
                </c:pt>
                <c:pt idx="73">
                  <c:v>0.22245315897053158</c:v>
                </c:pt>
                <c:pt idx="74">
                  <c:v>0.20425716095272381</c:v>
                </c:pt>
                <c:pt idx="75">
                  <c:v>0.19953031881883129</c:v>
                </c:pt>
                <c:pt idx="76">
                  <c:v>0.17840568198667509</c:v>
                </c:pt>
                <c:pt idx="77">
                  <c:v>0.23273689015284979</c:v>
                </c:pt>
                <c:pt idx="78">
                  <c:v>0.25429811460316359</c:v>
                </c:pt>
                <c:pt idx="79">
                  <c:v>0.23602404906086127</c:v>
                </c:pt>
                <c:pt idx="80">
                  <c:v>0.20200396162408996</c:v>
                </c:pt>
                <c:pt idx="81">
                  <c:v>0.44090387965346683</c:v>
                </c:pt>
                <c:pt idx="82">
                  <c:v>0.18811898865214588</c:v>
                </c:pt>
                <c:pt idx="83">
                  <c:v>0.21230571576456461</c:v>
                </c:pt>
                <c:pt idx="84">
                  <c:v>0.2554443112278022</c:v>
                </c:pt>
                <c:pt idx="85">
                  <c:v>0.18811898865214588</c:v>
                </c:pt>
                <c:pt idx="86">
                  <c:v>0.31843057974972605</c:v>
                </c:pt>
                <c:pt idx="87">
                  <c:v>0.22510676961484705</c:v>
                </c:pt>
                <c:pt idx="88">
                  <c:v>0.27031148265557203</c:v>
                </c:pt>
                <c:pt idx="89">
                  <c:v>0.21871001730863635</c:v>
                </c:pt>
                <c:pt idx="90">
                  <c:v>0.25024269799206761</c:v>
                </c:pt>
                <c:pt idx="91">
                  <c:v>0.20425716095272381</c:v>
                </c:pt>
                <c:pt idx="92">
                  <c:v>0.27626833099652109</c:v>
                </c:pt>
                <c:pt idx="93">
                  <c:v>0.19525466199471175</c:v>
                </c:pt>
                <c:pt idx="94">
                  <c:v>0.33826509272371436</c:v>
                </c:pt>
                <c:pt idx="95">
                  <c:v>0.19827145294295823</c:v>
                </c:pt>
                <c:pt idx="96">
                  <c:v>0.20020261366122599</c:v>
                </c:pt>
                <c:pt idx="97">
                  <c:v>0.19474442682016732</c:v>
                </c:pt>
                <c:pt idx="98">
                  <c:v>0.20280355631392272</c:v>
                </c:pt>
                <c:pt idx="99">
                  <c:v>0.20536204453804524</c:v>
                </c:pt>
                <c:pt idx="100">
                  <c:v>0.22062168104431007</c:v>
                </c:pt>
                <c:pt idx="101">
                  <c:v>0.20969766171906395</c:v>
                </c:pt>
                <c:pt idx="102">
                  <c:v>0.19284475640433277</c:v>
                </c:pt>
                <c:pt idx="103">
                  <c:v>0.20688143784259436</c:v>
                </c:pt>
                <c:pt idx="104">
                  <c:v>0.20688143784259436</c:v>
                </c:pt>
                <c:pt idx="105">
                  <c:v>0.26402628468667921</c:v>
                </c:pt>
                <c:pt idx="106">
                  <c:v>0.17828031740352601</c:v>
                </c:pt>
                <c:pt idx="107">
                  <c:v>0.22072750949912298</c:v>
                </c:pt>
                <c:pt idx="108">
                  <c:v>0.18357293635931402</c:v>
                </c:pt>
                <c:pt idx="109">
                  <c:v>0.21871001730863635</c:v>
                </c:pt>
                <c:pt idx="110">
                  <c:v>0.20636146018015603</c:v>
                </c:pt>
                <c:pt idx="111">
                  <c:v>0.29843797913428499</c:v>
                </c:pt>
                <c:pt idx="112">
                  <c:v>0.19797081372082884</c:v>
                </c:pt>
                <c:pt idx="113">
                  <c:v>0.21871001730863635</c:v>
                </c:pt>
                <c:pt idx="114">
                  <c:v>0.3837284866971315</c:v>
                </c:pt>
                <c:pt idx="115">
                  <c:v>0.23021615409813859</c:v>
                </c:pt>
                <c:pt idx="116">
                  <c:v>0.26731428891763087</c:v>
                </c:pt>
                <c:pt idx="117">
                  <c:v>0.25557922152530033</c:v>
                </c:pt>
                <c:pt idx="118">
                  <c:v>0.26820981668208232</c:v>
                </c:pt>
                <c:pt idx="119">
                  <c:v>0.22354354432579934</c:v>
                </c:pt>
                <c:pt idx="120">
                  <c:v>0.24105710171063577</c:v>
                </c:pt>
                <c:pt idx="121">
                  <c:v>0.244050979608569</c:v>
                </c:pt>
                <c:pt idx="122">
                  <c:v>0.22884632922905496</c:v>
                </c:pt>
                <c:pt idx="123">
                  <c:v>0.22495755927677683</c:v>
                </c:pt>
                <c:pt idx="124">
                  <c:v>0.24728526139792004</c:v>
                </c:pt>
                <c:pt idx="125">
                  <c:v>0.24092099310119752</c:v>
                </c:pt>
                <c:pt idx="126">
                  <c:v>0.22021739208620469</c:v>
                </c:pt>
                <c:pt idx="127">
                  <c:v>0.2370300780493943</c:v>
                </c:pt>
                <c:pt idx="128">
                  <c:v>0.22072750949912298</c:v>
                </c:pt>
                <c:pt idx="129">
                  <c:v>0.18289933907878095</c:v>
                </c:pt>
                <c:pt idx="130">
                  <c:v>0.24985164020118894</c:v>
                </c:pt>
                <c:pt idx="131">
                  <c:v>0.241368333750485</c:v>
                </c:pt>
                <c:pt idx="132">
                  <c:v>0.20946031284649047</c:v>
                </c:pt>
                <c:pt idx="133">
                  <c:v>0.22299144062716381</c:v>
                </c:pt>
                <c:pt idx="134">
                  <c:v>0.21748186621427212</c:v>
                </c:pt>
                <c:pt idx="135">
                  <c:v>0.21757723208871471</c:v>
                </c:pt>
                <c:pt idx="136">
                  <c:v>0.21530595233673852</c:v>
                </c:pt>
                <c:pt idx="137">
                  <c:v>0.2275125850141097</c:v>
                </c:pt>
                <c:pt idx="138">
                  <c:v>0.22004066884452522</c:v>
                </c:pt>
                <c:pt idx="139">
                  <c:v>0.22495755927677683</c:v>
                </c:pt>
                <c:pt idx="140">
                  <c:v>0.35280601553309021</c:v>
                </c:pt>
                <c:pt idx="141">
                  <c:v>0.18577502800100948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5D7-43BC-BCFB-D10D4DEBDD9F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76200">
                <a:solidFill>
                  <a:srgbClr val="FF0000"/>
                </a:solidFill>
              </a:ln>
              <a:effectLst/>
            </c:spPr>
          </c:marker>
          <c:xVal>
            <c:numRef>
              <c:f>Cruise!$B$2</c:f>
              <c:numCache>
                <c:formatCode>General</c:formatCode>
                <c:ptCount val="1"/>
                <c:pt idx="0">
                  <c:v>280</c:v>
                </c:pt>
              </c:numCache>
            </c:numRef>
          </c:xVal>
          <c:yVal>
            <c:numRef>
              <c:f>Cruise!$B$14</c:f>
              <c:numCache>
                <c:formatCode>General</c:formatCode>
                <c:ptCount val="1"/>
                <c:pt idx="0">
                  <c:v>0.1766840994720856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5CE-4612-93EA-53EE5D4A1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9478208"/>
        <c:axId val="529480504"/>
      </c:scatterChart>
      <c:valAx>
        <c:axId val="529478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480504"/>
        <c:crosses val="autoZero"/>
        <c:crossBetween val="midCat"/>
      </c:valAx>
      <c:valAx>
        <c:axId val="529480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Fn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478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'Container ships'!$C$147:$C$168</c:f>
              <c:numCache>
                <c:formatCode>General</c:formatCode>
                <c:ptCount val="22"/>
                <c:pt idx="0" formatCode="0.00">
                  <c:v>23385</c:v>
                </c:pt>
                <c:pt idx="1">
                  <c:v>34330</c:v>
                </c:pt>
                <c:pt idx="3">
                  <c:v>156907</c:v>
                </c:pt>
                <c:pt idx="4">
                  <c:v>17023</c:v>
                </c:pt>
                <c:pt idx="5">
                  <c:v>5817</c:v>
                </c:pt>
                <c:pt idx="6">
                  <c:v>216900</c:v>
                </c:pt>
                <c:pt idx="7">
                  <c:v>39819</c:v>
                </c:pt>
                <c:pt idx="8">
                  <c:v>37621</c:v>
                </c:pt>
                <c:pt idx="9">
                  <c:v>34770</c:v>
                </c:pt>
                <c:pt idx="10">
                  <c:v>37056</c:v>
                </c:pt>
                <c:pt idx="11">
                  <c:v>34350</c:v>
                </c:pt>
                <c:pt idx="12">
                  <c:v>15219</c:v>
                </c:pt>
                <c:pt idx="13">
                  <c:v>5269</c:v>
                </c:pt>
                <c:pt idx="14">
                  <c:v>2713</c:v>
                </c:pt>
                <c:pt idx="15">
                  <c:v>2565</c:v>
                </c:pt>
                <c:pt idx="16">
                  <c:v>131477</c:v>
                </c:pt>
                <c:pt idx="17">
                  <c:v>115657</c:v>
                </c:pt>
                <c:pt idx="18">
                  <c:v>80163</c:v>
                </c:pt>
              </c:numCache>
            </c:numRef>
          </c:xVal>
          <c:yVal>
            <c:numRef>
              <c:f>'Container ships'!$P$147:$P$168</c:f>
              <c:numCache>
                <c:formatCode>General</c:formatCode>
                <c:ptCount val="22"/>
                <c:pt idx="0">
                  <c:v>6.8017846401505571</c:v>
                </c:pt>
                <c:pt idx="1">
                  <c:v>5.6804451868979182</c:v>
                </c:pt>
                <c:pt idx="3">
                  <c:v>6.3983097854868873</c:v>
                </c:pt>
                <c:pt idx="4">
                  <c:v>6.270321944839047</c:v>
                </c:pt>
                <c:pt idx="5">
                  <c:v>4.7655294385056486</c:v>
                </c:pt>
                <c:pt idx="6">
                  <c:v>5.8758574602267393</c:v>
                </c:pt>
                <c:pt idx="7">
                  <c:v>4.9815561142152145</c:v>
                </c:pt>
                <c:pt idx="8">
                  <c:v>5.3545005982858944</c:v>
                </c:pt>
                <c:pt idx="9">
                  <c:v>5.0171607927230797</c:v>
                </c:pt>
                <c:pt idx="10">
                  <c:v>5.1515838091501811</c:v>
                </c:pt>
                <c:pt idx="11">
                  <c:v>4.9810532204883957</c:v>
                </c:pt>
                <c:pt idx="12">
                  <c:v>5.2444581898356093</c:v>
                </c:pt>
                <c:pt idx="13">
                  <c:v>4.777700100415549</c:v>
                </c:pt>
                <c:pt idx="14">
                  <c:v>4.4037985264673267</c:v>
                </c:pt>
                <c:pt idx="15">
                  <c:v>5.305910288038115</c:v>
                </c:pt>
                <c:pt idx="16">
                  <c:v>6.1556084161771825</c:v>
                </c:pt>
                <c:pt idx="17">
                  <c:v>5.8187011787908194</c:v>
                </c:pt>
                <c:pt idx="18">
                  <c:v>5.5474429239424872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92B-441E-9803-E21F998FA144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76200">
                <a:solidFill>
                  <a:srgbClr val="FF0000"/>
                </a:solidFill>
              </a:ln>
              <a:effectLst/>
            </c:spPr>
          </c:marker>
          <c:xVal>
            <c:numRef>
              <c:f>'Container ships'!$B$7</c:f>
              <c:numCache>
                <c:formatCode>General</c:formatCode>
                <c:ptCount val="1"/>
                <c:pt idx="0">
                  <c:v>80000</c:v>
                </c:pt>
              </c:numCache>
            </c:numRef>
          </c:xVal>
          <c:yVal>
            <c:numRef>
              <c:f>'Container ships'!$B$16</c:f>
              <c:numCache>
                <c:formatCode>General</c:formatCode>
                <c:ptCount val="1"/>
                <c:pt idx="0">
                  <c:v>7.0683985547737125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92B-441E-9803-E21F998FA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183104"/>
        <c:axId val="221183496"/>
      </c:scatterChart>
      <c:valAx>
        <c:axId val="221183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DWT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183496"/>
        <c:crosses val="autoZero"/>
        <c:crossBetween val="midCat"/>
      </c:valAx>
      <c:valAx>
        <c:axId val="221183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L/(V^(1/3))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183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'Container ships'!$H$147:$H$166</c:f>
              <c:numCache>
                <c:formatCode>General</c:formatCode>
                <c:ptCount val="20"/>
                <c:pt idx="0" formatCode="0.00">
                  <c:v>30</c:v>
                </c:pt>
                <c:pt idx="1">
                  <c:v>32.200000000000003</c:v>
                </c:pt>
                <c:pt idx="2">
                  <c:v>40</c:v>
                </c:pt>
                <c:pt idx="3">
                  <c:v>56.4</c:v>
                </c:pt>
                <c:pt idx="4">
                  <c:v>31</c:v>
                </c:pt>
                <c:pt idx="5">
                  <c:v>21.5</c:v>
                </c:pt>
                <c:pt idx="6">
                  <c:v>61</c:v>
                </c:pt>
                <c:pt idx="7">
                  <c:v>35</c:v>
                </c:pt>
                <c:pt idx="8">
                  <c:v>36</c:v>
                </c:pt>
                <c:pt idx="9">
                  <c:v>32</c:v>
                </c:pt>
                <c:pt idx="10">
                  <c:v>35</c:v>
                </c:pt>
                <c:pt idx="11">
                  <c:v>32</c:v>
                </c:pt>
                <c:pt idx="12">
                  <c:v>25</c:v>
                </c:pt>
                <c:pt idx="13">
                  <c:v>18</c:v>
                </c:pt>
                <c:pt idx="14">
                  <c:v>16</c:v>
                </c:pt>
                <c:pt idx="15">
                  <c:v>14</c:v>
                </c:pt>
                <c:pt idx="16">
                  <c:v>45</c:v>
                </c:pt>
                <c:pt idx="17">
                  <c:v>48</c:v>
                </c:pt>
                <c:pt idx="18">
                  <c:v>43</c:v>
                </c:pt>
              </c:numCache>
            </c:numRef>
          </c:xVal>
          <c:yVal>
            <c:numRef>
              <c:f>'Container ships'!$M$147:$M$166</c:f>
              <c:numCache>
                <c:formatCode>General</c:formatCode>
                <c:ptCount val="20"/>
                <c:pt idx="0" formatCode="0.00">
                  <c:v>44175</c:v>
                </c:pt>
                <c:pt idx="1">
                  <c:v>20954</c:v>
                </c:pt>
                <c:pt idx="2">
                  <c:v>54900</c:v>
                </c:pt>
                <c:pt idx="3">
                  <c:v>80080</c:v>
                </c:pt>
                <c:pt idx="4">
                  <c:v>21600</c:v>
                </c:pt>
                <c:pt idx="5">
                  <c:v>5880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D48-4B70-810E-E7E7A2A87C70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76200">
                <a:solidFill>
                  <a:srgbClr val="FF0000"/>
                </a:solidFill>
              </a:ln>
              <a:effectLst/>
            </c:spPr>
          </c:marker>
          <c:xVal>
            <c:numRef>
              <c:f>'Container ships'!$B$4</c:f>
              <c:numCache>
                <c:formatCode>General</c:formatCode>
                <c:ptCount val="1"/>
                <c:pt idx="0">
                  <c:v>37</c:v>
                </c:pt>
              </c:numCache>
            </c:numRef>
          </c:xVal>
          <c:yVal>
            <c:numRef>
              <c:f>'Container ships'!$B$11</c:f>
              <c:numCache>
                <c:formatCode>General</c:formatCode>
                <c:ptCount val="1"/>
                <c:pt idx="0">
                  <c:v>50000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D48-4B70-810E-E7E7A2A87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590856"/>
        <c:axId val="5247880"/>
      </c:scatterChart>
      <c:valAx>
        <c:axId val="220590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Breadth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7880"/>
        <c:crosses val="autoZero"/>
        <c:crossBetween val="midCat"/>
      </c:valAx>
      <c:valAx>
        <c:axId val="524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Power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590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'Container ships'!$G$147:$G$166</c:f>
              <c:numCache>
                <c:formatCode>General</c:formatCode>
                <c:ptCount val="20"/>
                <c:pt idx="0" formatCode="0.00">
                  <c:v>223.4</c:v>
                </c:pt>
                <c:pt idx="1">
                  <c:v>204</c:v>
                </c:pt>
                <c:pt idx="2">
                  <c:v>264.39999999999998</c:v>
                </c:pt>
                <c:pt idx="3">
                  <c:v>397</c:v>
                </c:pt>
                <c:pt idx="4">
                  <c:v>190.42</c:v>
                </c:pt>
                <c:pt idx="5">
                  <c:v>99.2</c:v>
                </c:pt>
                <c:pt idx="6">
                  <c:v>400</c:v>
                </c:pt>
                <c:pt idx="7">
                  <c:v>200</c:v>
                </c:pt>
                <c:pt idx="8">
                  <c:v>186</c:v>
                </c:pt>
                <c:pt idx="9">
                  <c:v>192</c:v>
                </c:pt>
                <c:pt idx="10">
                  <c:v>186</c:v>
                </c:pt>
                <c:pt idx="11">
                  <c:v>195</c:v>
                </c:pt>
                <c:pt idx="12">
                  <c:v>147</c:v>
                </c:pt>
                <c:pt idx="13">
                  <c:v>99</c:v>
                </c:pt>
                <c:pt idx="14">
                  <c:v>80</c:v>
                </c:pt>
                <c:pt idx="15">
                  <c:v>80</c:v>
                </c:pt>
                <c:pt idx="16">
                  <c:v>347</c:v>
                </c:pt>
                <c:pt idx="17">
                  <c:v>300</c:v>
                </c:pt>
                <c:pt idx="18">
                  <c:v>270</c:v>
                </c:pt>
              </c:numCache>
            </c:numRef>
          </c:xVal>
          <c:yVal>
            <c:numRef>
              <c:f>'Container ships'!$M$147:$M$166</c:f>
              <c:numCache>
                <c:formatCode>General</c:formatCode>
                <c:ptCount val="20"/>
                <c:pt idx="0" formatCode="0.00">
                  <c:v>44175</c:v>
                </c:pt>
                <c:pt idx="1">
                  <c:v>20954</c:v>
                </c:pt>
                <c:pt idx="2">
                  <c:v>54900</c:v>
                </c:pt>
                <c:pt idx="3">
                  <c:v>80080</c:v>
                </c:pt>
                <c:pt idx="4">
                  <c:v>21600</c:v>
                </c:pt>
                <c:pt idx="5">
                  <c:v>5880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C9F-44B5-A4EA-EFE6A9917608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76200">
                <a:solidFill>
                  <a:srgbClr val="FF0000"/>
                </a:solidFill>
              </a:ln>
              <a:effectLst/>
            </c:spPr>
          </c:marker>
          <c:xVal>
            <c:numRef>
              <c:f>'Container ships'!$B$3</c:f>
              <c:numCache>
                <c:formatCode>General</c:formatCode>
                <c:ptCount val="1"/>
                <c:pt idx="0">
                  <c:v>280</c:v>
                </c:pt>
              </c:numCache>
            </c:numRef>
          </c:xVal>
          <c:yVal>
            <c:numRef>
              <c:f>'Container ships'!$B$11</c:f>
              <c:numCache>
                <c:formatCode>General</c:formatCode>
                <c:ptCount val="1"/>
                <c:pt idx="0">
                  <c:v>50000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C9F-44B5-A4EA-EFE6A9917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590856"/>
        <c:axId val="5247880"/>
      </c:scatterChart>
      <c:valAx>
        <c:axId val="220590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Lbp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7880"/>
        <c:crosses val="autoZero"/>
        <c:crossBetween val="midCat"/>
      </c:valAx>
      <c:valAx>
        <c:axId val="524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Power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590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'Container ships'!$G$147:$G$165</c:f>
              <c:numCache>
                <c:formatCode>General</c:formatCode>
                <c:ptCount val="19"/>
                <c:pt idx="0" formatCode="0.00">
                  <c:v>223.4</c:v>
                </c:pt>
                <c:pt idx="1">
                  <c:v>204</c:v>
                </c:pt>
                <c:pt idx="2">
                  <c:v>264.39999999999998</c:v>
                </c:pt>
                <c:pt idx="3">
                  <c:v>397</c:v>
                </c:pt>
                <c:pt idx="4">
                  <c:v>190.42</c:v>
                </c:pt>
                <c:pt idx="5">
                  <c:v>99.2</c:v>
                </c:pt>
                <c:pt idx="6">
                  <c:v>400</c:v>
                </c:pt>
                <c:pt idx="7">
                  <c:v>200</c:v>
                </c:pt>
                <c:pt idx="8">
                  <c:v>186</c:v>
                </c:pt>
                <c:pt idx="9">
                  <c:v>192</c:v>
                </c:pt>
                <c:pt idx="10">
                  <c:v>186</c:v>
                </c:pt>
                <c:pt idx="11">
                  <c:v>195</c:v>
                </c:pt>
                <c:pt idx="12">
                  <c:v>147</c:v>
                </c:pt>
                <c:pt idx="13">
                  <c:v>99</c:v>
                </c:pt>
                <c:pt idx="14">
                  <c:v>80</c:v>
                </c:pt>
                <c:pt idx="15">
                  <c:v>80</c:v>
                </c:pt>
                <c:pt idx="16">
                  <c:v>347</c:v>
                </c:pt>
                <c:pt idx="17">
                  <c:v>300</c:v>
                </c:pt>
                <c:pt idx="18">
                  <c:v>270</c:v>
                </c:pt>
              </c:numCache>
            </c:numRef>
          </c:xVal>
          <c:yVal>
            <c:numRef>
              <c:f>'Container ships'!$J$147:$J$165</c:f>
              <c:numCache>
                <c:formatCode>General</c:formatCode>
                <c:ptCount val="19"/>
                <c:pt idx="0" formatCode="0.00">
                  <c:v>19.2</c:v>
                </c:pt>
                <c:pt idx="1">
                  <c:v>19</c:v>
                </c:pt>
                <c:pt idx="2">
                  <c:v>24.3</c:v>
                </c:pt>
                <c:pt idx="3">
                  <c:v>30</c:v>
                </c:pt>
                <c:pt idx="5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5D-433F-840B-6230170534B2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76200">
                <a:solidFill>
                  <a:srgbClr val="FF0000"/>
                </a:solidFill>
              </a:ln>
              <a:effectLst/>
            </c:spPr>
          </c:marker>
          <c:xVal>
            <c:numRef>
              <c:f>'Container ships'!$B$3</c:f>
              <c:numCache>
                <c:formatCode>General</c:formatCode>
                <c:ptCount val="1"/>
                <c:pt idx="0">
                  <c:v>280</c:v>
                </c:pt>
              </c:numCache>
            </c:numRef>
          </c:xVal>
          <c:yVal>
            <c:numRef>
              <c:f>'Container ships'!$B$6</c:f>
              <c:numCache>
                <c:formatCode>General</c:formatCode>
                <c:ptCount val="1"/>
                <c:pt idx="0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B5D-433F-840B-623017053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590856"/>
        <c:axId val="5247880"/>
      </c:scatterChart>
      <c:valAx>
        <c:axId val="220590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Lbp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7880"/>
        <c:crosses val="autoZero"/>
        <c:crossBetween val="midCat"/>
      </c:valAx>
      <c:valAx>
        <c:axId val="524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590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forward val="40"/>
            <c:backward val="40"/>
            <c:dispRSqr val="0"/>
            <c:dispEq val="0"/>
          </c:trendline>
          <c:xVal>
            <c:numRef>
              <c:f>'Container ships'!$H$147:$H$168</c:f>
              <c:numCache>
                <c:formatCode>General</c:formatCode>
                <c:ptCount val="22"/>
                <c:pt idx="0" formatCode="0.00">
                  <c:v>30</c:v>
                </c:pt>
                <c:pt idx="1">
                  <c:v>32.200000000000003</c:v>
                </c:pt>
                <c:pt idx="2">
                  <c:v>40</c:v>
                </c:pt>
                <c:pt idx="3">
                  <c:v>56.4</c:v>
                </c:pt>
                <c:pt idx="4">
                  <c:v>31</c:v>
                </c:pt>
                <c:pt idx="5">
                  <c:v>21.5</c:v>
                </c:pt>
                <c:pt idx="6">
                  <c:v>61</c:v>
                </c:pt>
                <c:pt idx="7">
                  <c:v>35</c:v>
                </c:pt>
                <c:pt idx="8">
                  <c:v>36</c:v>
                </c:pt>
                <c:pt idx="9">
                  <c:v>32</c:v>
                </c:pt>
                <c:pt idx="10">
                  <c:v>35</c:v>
                </c:pt>
                <c:pt idx="11">
                  <c:v>32</c:v>
                </c:pt>
                <c:pt idx="12">
                  <c:v>25</c:v>
                </c:pt>
                <c:pt idx="13">
                  <c:v>18</c:v>
                </c:pt>
                <c:pt idx="14">
                  <c:v>16</c:v>
                </c:pt>
                <c:pt idx="15">
                  <c:v>14</c:v>
                </c:pt>
                <c:pt idx="16">
                  <c:v>45</c:v>
                </c:pt>
                <c:pt idx="17">
                  <c:v>48</c:v>
                </c:pt>
                <c:pt idx="18">
                  <c:v>43</c:v>
                </c:pt>
              </c:numCache>
            </c:numRef>
          </c:xVal>
          <c:yVal>
            <c:numRef>
              <c:f>'Container ships'!$I$147:$I$168</c:f>
              <c:numCache>
                <c:formatCode>General</c:formatCode>
                <c:ptCount val="22"/>
                <c:pt idx="0" formatCode="0.00">
                  <c:v>9.9</c:v>
                </c:pt>
                <c:pt idx="1">
                  <c:v>10.78</c:v>
                </c:pt>
                <c:pt idx="2">
                  <c:v>14</c:v>
                </c:pt>
                <c:pt idx="3">
                  <c:v>15.5</c:v>
                </c:pt>
                <c:pt idx="4">
                  <c:v>7.8</c:v>
                </c:pt>
                <c:pt idx="5">
                  <c:v>6.5</c:v>
                </c:pt>
                <c:pt idx="6">
                  <c:v>16.2</c:v>
                </c:pt>
                <c:pt idx="7">
                  <c:v>12</c:v>
                </c:pt>
                <c:pt idx="8">
                  <c:v>9.6</c:v>
                </c:pt>
                <c:pt idx="9">
                  <c:v>11</c:v>
                </c:pt>
                <c:pt idx="10">
                  <c:v>10.7</c:v>
                </c:pt>
                <c:pt idx="11">
                  <c:v>11</c:v>
                </c:pt>
                <c:pt idx="12">
                  <c:v>9</c:v>
                </c:pt>
                <c:pt idx="13">
                  <c:v>7</c:v>
                </c:pt>
                <c:pt idx="14">
                  <c:v>7</c:v>
                </c:pt>
                <c:pt idx="15">
                  <c:v>4.0999999999999996</c:v>
                </c:pt>
                <c:pt idx="16">
                  <c:v>15</c:v>
                </c:pt>
                <c:pt idx="17">
                  <c:v>13</c:v>
                </c:pt>
                <c:pt idx="18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D9C-4671-9275-8ED0444114E5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76200">
                <a:solidFill>
                  <a:srgbClr val="FF0000"/>
                </a:solidFill>
              </a:ln>
              <a:effectLst/>
            </c:spPr>
          </c:marker>
          <c:xVal>
            <c:numRef>
              <c:f>'Container ships'!$B$4</c:f>
              <c:numCache>
                <c:formatCode>General</c:formatCode>
                <c:ptCount val="1"/>
                <c:pt idx="0">
                  <c:v>37</c:v>
                </c:pt>
              </c:numCache>
            </c:numRef>
          </c:xVal>
          <c:yVal>
            <c:numRef>
              <c:f>'Container ships'!$B$5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D9C-4671-9275-8ED044411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126880"/>
        <c:axId val="221127272"/>
      </c:scatterChart>
      <c:valAx>
        <c:axId val="221126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B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127272"/>
        <c:crosses val="autoZero"/>
        <c:crossBetween val="midCat"/>
      </c:valAx>
      <c:valAx>
        <c:axId val="221127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T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126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'Mega Yacht'!$Q$118:$Q$164</c:f>
              <c:numCache>
                <c:formatCode>General</c:formatCode>
                <c:ptCount val="47"/>
                <c:pt idx="1">
                  <c:v>6.5890454545454551</c:v>
                </c:pt>
                <c:pt idx="2">
                  <c:v>5.7710416666666662</c:v>
                </c:pt>
                <c:pt idx="3">
                  <c:v>7.1819672131147545</c:v>
                </c:pt>
                <c:pt idx="4">
                  <c:v>11.23076923076923</c:v>
                </c:pt>
                <c:pt idx="5">
                  <c:v>8.3731333333333335</c:v>
                </c:pt>
                <c:pt idx="6">
                  <c:v>5.2660851063829792</c:v>
                </c:pt>
                <c:pt idx="7">
                  <c:v>6.4647894736842106</c:v>
                </c:pt>
                <c:pt idx="8">
                  <c:v>5.9420152091254756</c:v>
                </c:pt>
                <c:pt idx="9">
                  <c:v>8.5</c:v>
                </c:pt>
                <c:pt idx="10">
                  <c:v>6.4351783783783789</c:v>
                </c:pt>
                <c:pt idx="11">
                  <c:v>5.9110500000000004</c:v>
                </c:pt>
                <c:pt idx="12">
                  <c:v>5.2357142857142858</c:v>
                </c:pt>
                <c:pt idx="13">
                  <c:v>5.6559897435897444</c:v>
                </c:pt>
                <c:pt idx="14">
                  <c:v>6.1917159763313618</c:v>
                </c:pt>
                <c:pt idx="15">
                  <c:v>6.2801061007957548</c:v>
                </c:pt>
                <c:pt idx="16">
                  <c:v>5.9834767441860466</c:v>
                </c:pt>
                <c:pt idx="17">
                  <c:v>7.25</c:v>
                </c:pt>
                <c:pt idx="18">
                  <c:v>8.0416666666666661</c:v>
                </c:pt>
                <c:pt idx="19">
                  <c:v>5.8081395348837219</c:v>
                </c:pt>
                <c:pt idx="20">
                  <c:v>5.645833333333333</c:v>
                </c:pt>
                <c:pt idx="21">
                  <c:v>5.6269265536723161</c:v>
                </c:pt>
                <c:pt idx="22">
                  <c:v>5.9877300613496924</c:v>
                </c:pt>
                <c:pt idx="23">
                  <c:v>5.9518404907975455</c:v>
                </c:pt>
                <c:pt idx="24">
                  <c:v>6.4584615384615391</c:v>
                </c:pt>
                <c:pt idx="25">
                  <c:v>6.4483600837404049</c:v>
                </c:pt>
                <c:pt idx="26">
                  <c:v>4.8432432432432426</c:v>
                </c:pt>
                <c:pt idx="27">
                  <c:v>5.6470987654320997</c:v>
                </c:pt>
                <c:pt idx="28">
                  <c:v>6.3862928348909662</c:v>
                </c:pt>
                <c:pt idx="29">
                  <c:v>8.9324324324324333</c:v>
                </c:pt>
                <c:pt idx="30">
                  <c:v>5.3258375000000004</c:v>
                </c:pt>
                <c:pt idx="31">
                  <c:v>5.9772996491228065</c:v>
                </c:pt>
                <c:pt idx="33">
                  <c:v>6.975806451612903</c:v>
                </c:pt>
                <c:pt idx="34">
                  <c:v>5.1775585696670783</c:v>
                </c:pt>
                <c:pt idx="36">
                  <c:v>5.5456666666666665</c:v>
                </c:pt>
                <c:pt idx="37">
                  <c:v>6.0184296296296296</c:v>
                </c:pt>
                <c:pt idx="38">
                  <c:v>5.4038662207357868</c:v>
                </c:pt>
                <c:pt idx="39">
                  <c:v>6.2935390625000007</c:v>
                </c:pt>
                <c:pt idx="40">
                  <c:v>5.0577987421383641</c:v>
                </c:pt>
                <c:pt idx="41">
                  <c:v>6.5632833333333336</c:v>
                </c:pt>
                <c:pt idx="43">
                  <c:v>5.4766666666666675</c:v>
                </c:pt>
                <c:pt idx="44">
                  <c:v>5.41</c:v>
                </c:pt>
                <c:pt idx="45">
                  <c:v>6.4405737704918042</c:v>
                </c:pt>
                <c:pt idx="46">
                  <c:v>5.5907202216066487</c:v>
                </c:pt>
              </c:numCache>
            </c:numRef>
          </c:xVal>
          <c:yVal>
            <c:numRef>
              <c:f>'Mega Yacht'!$L$118:$L$164</c:f>
              <c:numCache>
                <c:formatCode>General</c:formatCode>
                <c:ptCount val="47"/>
                <c:pt idx="2">
                  <c:v>0.20916410112805012</c:v>
                </c:pt>
                <c:pt idx="3">
                  <c:v>0.25766407233620575</c:v>
                </c:pt>
                <c:pt idx="5">
                  <c:v>0.33679591734465858</c:v>
                </c:pt>
                <c:pt idx="7">
                  <c:v>0.38498868847136336</c:v>
                </c:pt>
                <c:pt idx="8">
                  <c:v>0.27886401054156434</c:v>
                </c:pt>
                <c:pt idx="9">
                  <c:v>0.22515372880547882</c:v>
                </c:pt>
                <c:pt idx="12">
                  <c:v>0.26606020405921199</c:v>
                </c:pt>
                <c:pt idx="14">
                  <c:v>0.26470594429847261</c:v>
                </c:pt>
                <c:pt idx="15">
                  <c:v>0.2941196624318812</c:v>
                </c:pt>
                <c:pt idx="16">
                  <c:v>0.22647257800628467</c:v>
                </c:pt>
                <c:pt idx="19">
                  <c:v>0.29554143404038546</c:v>
                </c:pt>
                <c:pt idx="21">
                  <c:v>0.24665937000650986</c:v>
                </c:pt>
                <c:pt idx="22">
                  <c:v>0.26578085190425188</c:v>
                </c:pt>
                <c:pt idx="23">
                  <c:v>0.30323586040790934</c:v>
                </c:pt>
                <c:pt idx="24">
                  <c:v>0.13360830891985684</c:v>
                </c:pt>
                <c:pt idx="25">
                  <c:v>0.23900606147092238</c:v>
                </c:pt>
                <c:pt idx="28">
                  <c:v>0.39144922742353333</c:v>
                </c:pt>
                <c:pt idx="29">
                  <c:v>0.31313806024984731</c:v>
                </c:pt>
                <c:pt idx="33">
                  <c:v>0.29996423946081785</c:v>
                </c:pt>
                <c:pt idx="34">
                  <c:v>0.28652377393221323</c:v>
                </c:pt>
                <c:pt idx="36">
                  <c:v>0.32387588292479758</c:v>
                </c:pt>
                <c:pt idx="39">
                  <c:v>0.38396837797051919</c:v>
                </c:pt>
                <c:pt idx="43">
                  <c:v>0.28969754448115631</c:v>
                </c:pt>
                <c:pt idx="44">
                  <c:v>0.27496228499477288</c:v>
                </c:pt>
                <c:pt idx="46">
                  <c:v>0.21917569133962431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C1D-48B5-9B15-7410ECE810A6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76200">
                <a:solidFill>
                  <a:srgbClr val="FF0000"/>
                </a:solidFill>
              </a:ln>
              <a:effectLst/>
            </c:spPr>
          </c:marker>
          <c:xVal>
            <c:numRef>
              <c:f>'Mega Yacht'!$B$14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'Mega Yacht'!$B$18</c:f>
              <c:numCache>
                <c:formatCode>General</c:formatCode>
                <c:ptCount val="1"/>
                <c:pt idx="0">
                  <c:v>0.36727298106401718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C1D-48B5-9B15-7410ECE81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0562048"/>
        <c:axId val="700559424"/>
      </c:scatterChart>
      <c:valAx>
        <c:axId val="700562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L/B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559424"/>
        <c:crosses val="autoZero"/>
        <c:crossBetween val="midCat"/>
      </c:valAx>
      <c:valAx>
        <c:axId val="70055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562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'Mega Yacht'!$R$118:$R$164</c:f>
              <c:numCache>
                <c:formatCode>General</c:formatCode>
                <c:ptCount val="47"/>
                <c:pt idx="0">
                  <c:v>0</c:v>
                </c:pt>
                <c:pt idx="1">
                  <c:v>4.4000000000000004</c:v>
                </c:pt>
                <c:pt idx="2">
                  <c:v>4.615384615384615</c:v>
                </c:pt>
                <c:pt idx="3">
                  <c:v>3.7346938775510203</c:v>
                </c:pt>
                <c:pt idx="4">
                  <c:v>2.429906542056075</c:v>
                </c:pt>
                <c:pt idx="5">
                  <c:v>3.4883720930232558</c:v>
                </c:pt>
                <c:pt idx="6">
                  <c:v>4.7</c:v>
                </c:pt>
                <c:pt idx="7">
                  <c:v>3.8775510204081631</c:v>
                </c:pt>
                <c:pt idx="8">
                  <c:v>3.5008319467554077</c:v>
                </c:pt>
                <c:pt idx="9">
                  <c:v>2.6229508196721314</c:v>
                </c:pt>
                <c:pt idx="10">
                  <c:v>3.3636363636363638</c:v>
                </c:pt>
                <c:pt idx="11">
                  <c:v>4.0816326530612246</c:v>
                </c:pt>
                <c:pt idx="12">
                  <c:v>3.5897435897435899</c:v>
                </c:pt>
                <c:pt idx="13">
                  <c:v>0</c:v>
                </c:pt>
                <c:pt idx="14">
                  <c:v>3.045045045045045</c:v>
                </c:pt>
                <c:pt idx="15">
                  <c:v>3.6601941747572817</c:v>
                </c:pt>
                <c:pt idx="16">
                  <c:v>3.9090909090909087</c:v>
                </c:pt>
                <c:pt idx="17">
                  <c:v>3.3488372093023258</c:v>
                </c:pt>
                <c:pt idx="18">
                  <c:v>3.3488372093023258</c:v>
                </c:pt>
                <c:pt idx="19">
                  <c:v>3.6989247311827951</c:v>
                </c:pt>
                <c:pt idx="20">
                  <c:v>0</c:v>
                </c:pt>
                <c:pt idx="21">
                  <c:v>3.847826086956522</c:v>
                </c:pt>
                <c:pt idx="22">
                  <c:v>3.7045454545454546</c:v>
                </c:pt>
                <c:pt idx="23">
                  <c:v>5.09375</c:v>
                </c:pt>
                <c:pt idx="24">
                  <c:v>2.9029126213592229</c:v>
                </c:pt>
                <c:pt idx="25">
                  <c:v>0</c:v>
                </c:pt>
                <c:pt idx="26">
                  <c:v>3.3636363636363638</c:v>
                </c:pt>
                <c:pt idx="27">
                  <c:v>3.2399999999999998</c:v>
                </c:pt>
                <c:pt idx="28">
                  <c:v>3.0571428571428569</c:v>
                </c:pt>
                <c:pt idx="29">
                  <c:v>2.611764705882353</c:v>
                </c:pt>
                <c:pt idx="30">
                  <c:v>3.3333333333333335</c:v>
                </c:pt>
                <c:pt idx="31">
                  <c:v>3.3928571428571428</c:v>
                </c:pt>
                <c:pt idx="32">
                  <c:v>0</c:v>
                </c:pt>
                <c:pt idx="33">
                  <c:v>2.8181818181818179</c:v>
                </c:pt>
                <c:pt idx="34">
                  <c:v>3.6863636363636356</c:v>
                </c:pt>
                <c:pt idx="35">
                  <c:v>0</c:v>
                </c:pt>
                <c:pt idx="36">
                  <c:v>3.3333333333333335</c:v>
                </c:pt>
                <c:pt idx="37">
                  <c:v>0</c:v>
                </c:pt>
                <c:pt idx="38">
                  <c:v>3.4767441860465116</c:v>
                </c:pt>
                <c:pt idx="39">
                  <c:v>3.0476190476190474</c:v>
                </c:pt>
                <c:pt idx="40">
                  <c:v>3.7411764705882353</c:v>
                </c:pt>
                <c:pt idx="41">
                  <c:v>2.6666666666666665</c:v>
                </c:pt>
                <c:pt idx="42">
                  <c:v>0</c:v>
                </c:pt>
                <c:pt idx="43">
                  <c:v>3.0927835051546393</c:v>
                </c:pt>
                <c:pt idx="44">
                  <c:v>2.4489795918367343</c:v>
                </c:pt>
                <c:pt idx="45">
                  <c:v>2.2181818181818183</c:v>
                </c:pt>
                <c:pt idx="46">
                  <c:v>3.6556962025316451</c:v>
                </c:pt>
              </c:numCache>
            </c:numRef>
          </c:xVal>
          <c:yVal>
            <c:numRef>
              <c:f>'Mega Yacht'!$L$118:$L$164</c:f>
              <c:numCache>
                <c:formatCode>General</c:formatCode>
                <c:ptCount val="47"/>
                <c:pt idx="2">
                  <c:v>0.20916410112805012</c:v>
                </c:pt>
                <c:pt idx="3">
                  <c:v>0.25766407233620575</c:v>
                </c:pt>
                <c:pt idx="5">
                  <c:v>0.33679591734465858</c:v>
                </c:pt>
                <c:pt idx="7">
                  <c:v>0.38498868847136336</c:v>
                </c:pt>
                <c:pt idx="8">
                  <c:v>0.27886401054156434</c:v>
                </c:pt>
                <c:pt idx="9">
                  <c:v>0.22515372880547882</c:v>
                </c:pt>
                <c:pt idx="12">
                  <c:v>0.26606020405921199</c:v>
                </c:pt>
                <c:pt idx="14">
                  <c:v>0.26470594429847261</c:v>
                </c:pt>
                <c:pt idx="15">
                  <c:v>0.2941196624318812</c:v>
                </c:pt>
                <c:pt idx="16">
                  <c:v>0.22647257800628467</c:v>
                </c:pt>
                <c:pt idx="19">
                  <c:v>0.29554143404038546</c:v>
                </c:pt>
                <c:pt idx="21">
                  <c:v>0.24665937000650986</c:v>
                </c:pt>
                <c:pt idx="22">
                  <c:v>0.26578085190425188</c:v>
                </c:pt>
                <c:pt idx="23">
                  <c:v>0.30323586040790934</c:v>
                </c:pt>
                <c:pt idx="24">
                  <c:v>0.13360830891985684</c:v>
                </c:pt>
                <c:pt idx="25">
                  <c:v>0.23900606147092238</c:v>
                </c:pt>
                <c:pt idx="28">
                  <c:v>0.39144922742353333</c:v>
                </c:pt>
                <c:pt idx="29">
                  <c:v>0.31313806024984731</c:v>
                </c:pt>
                <c:pt idx="33">
                  <c:v>0.29996423946081785</c:v>
                </c:pt>
                <c:pt idx="34">
                  <c:v>0.28652377393221323</c:v>
                </c:pt>
                <c:pt idx="36">
                  <c:v>0.32387588292479758</c:v>
                </c:pt>
                <c:pt idx="39">
                  <c:v>0.38396837797051919</c:v>
                </c:pt>
                <c:pt idx="43">
                  <c:v>0.28969754448115631</c:v>
                </c:pt>
                <c:pt idx="44">
                  <c:v>0.27496228499477288</c:v>
                </c:pt>
                <c:pt idx="46">
                  <c:v>0.21917569133962431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E3B-4A64-9CA9-8ADEF7B88730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76200">
                <a:solidFill>
                  <a:srgbClr val="FF0000"/>
                </a:solidFill>
              </a:ln>
              <a:effectLst/>
            </c:spPr>
          </c:marker>
          <c:xVal>
            <c:numRef>
              <c:f>'Mega Yacht'!$B$16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'Mega Yacht'!$B$18</c:f>
              <c:numCache>
                <c:formatCode>General</c:formatCode>
                <c:ptCount val="1"/>
                <c:pt idx="0">
                  <c:v>0.36727298106401718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E3B-4A64-9CA9-8ADEF7B88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0562048"/>
        <c:axId val="700559424"/>
      </c:scatterChart>
      <c:valAx>
        <c:axId val="700562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559424"/>
        <c:crosses val="autoZero"/>
        <c:crossBetween val="midCat"/>
      </c:valAx>
      <c:valAx>
        <c:axId val="70055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562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'Mega Yacht'!$E$118:$E$164</c:f>
              <c:numCache>
                <c:formatCode>General</c:formatCode>
                <c:ptCount val="47"/>
                <c:pt idx="1">
                  <c:v>22</c:v>
                </c:pt>
                <c:pt idx="2">
                  <c:v>24</c:v>
                </c:pt>
                <c:pt idx="3">
                  <c:v>18.3</c:v>
                </c:pt>
                <c:pt idx="4">
                  <c:v>13</c:v>
                </c:pt>
                <c:pt idx="5">
                  <c:v>15</c:v>
                </c:pt>
                <c:pt idx="6">
                  <c:v>23.5</c:v>
                </c:pt>
                <c:pt idx="7">
                  <c:v>19</c:v>
                </c:pt>
                <c:pt idx="8">
                  <c:v>21.04</c:v>
                </c:pt>
                <c:pt idx="9">
                  <c:v>16</c:v>
                </c:pt>
                <c:pt idx="10">
                  <c:v>18.5</c:v>
                </c:pt>
                <c:pt idx="11">
                  <c:v>20</c:v>
                </c:pt>
                <c:pt idx="12">
                  <c:v>21</c:v>
                </c:pt>
                <c:pt idx="13">
                  <c:v>19.5</c:v>
                </c:pt>
                <c:pt idx="14">
                  <c:v>16.899999999999999</c:v>
                </c:pt>
                <c:pt idx="15">
                  <c:v>18.850000000000001</c:v>
                </c:pt>
                <c:pt idx="16">
                  <c:v>17.2</c:v>
                </c:pt>
                <c:pt idx="17">
                  <c:v>14.4</c:v>
                </c:pt>
                <c:pt idx="18">
                  <c:v>14.4</c:v>
                </c:pt>
                <c:pt idx="19">
                  <c:v>17.2</c:v>
                </c:pt>
                <c:pt idx="20">
                  <c:v>18</c:v>
                </c:pt>
                <c:pt idx="21">
                  <c:v>17.7</c:v>
                </c:pt>
                <c:pt idx="22">
                  <c:v>16.3</c:v>
                </c:pt>
                <c:pt idx="23">
                  <c:v>16.3</c:v>
                </c:pt>
                <c:pt idx="24">
                  <c:v>14.95</c:v>
                </c:pt>
                <c:pt idx="25">
                  <c:v>14.33</c:v>
                </c:pt>
                <c:pt idx="26">
                  <c:v>18.5</c:v>
                </c:pt>
                <c:pt idx="27">
                  <c:v>16.2</c:v>
                </c:pt>
                <c:pt idx="28">
                  <c:v>12.84</c:v>
                </c:pt>
                <c:pt idx="29">
                  <c:v>11.1</c:v>
                </c:pt>
                <c:pt idx="30">
                  <c:v>16</c:v>
                </c:pt>
                <c:pt idx="31">
                  <c:v>14.25</c:v>
                </c:pt>
                <c:pt idx="33">
                  <c:v>12.4</c:v>
                </c:pt>
                <c:pt idx="34">
                  <c:v>16.22</c:v>
                </c:pt>
                <c:pt idx="36">
                  <c:v>15</c:v>
                </c:pt>
                <c:pt idx="37">
                  <c:v>13.5</c:v>
                </c:pt>
                <c:pt idx="38">
                  <c:v>14.95</c:v>
                </c:pt>
                <c:pt idx="39">
                  <c:v>12.8</c:v>
                </c:pt>
                <c:pt idx="40">
                  <c:v>15.9</c:v>
                </c:pt>
                <c:pt idx="41">
                  <c:v>12</c:v>
                </c:pt>
                <c:pt idx="43">
                  <c:v>15</c:v>
                </c:pt>
                <c:pt idx="44">
                  <c:v>12</c:v>
                </c:pt>
                <c:pt idx="45">
                  <c:v>12.2</c:v>
                </c:pt>
                <c:pt idx="46">
                  <c:v>14.44</c:v>
                </c:pt>
              </c:numCache>
            </c:numRef>
          </c:xVal>
          <c:yVal>
            <c:numRef>
              <c:f>'Mega Yacht'!$J$118:$J$164</c:f>
              <c:numCache>
                <c:formatCode>General</c:formatCode>
                <c:ptCount val="47"/>
                <c:pt idx="1">
                  <c:v>28708</c:v>
                </c:pt>
                <c:pt idx="3">
                  <c:v>11632</c:v>
                </c:pt>
                <c:pt idx="4">
                  <c:v>9694</c:v>
                </c:pt>
                <c:pt idx="5">
                  <c:v>15660</c:v>
                </c:pt>
                <c:pt idx="6">
                  <c:v>13000</c:v>
                </c:pt>
                <c:pt idx="7">
                  <c:v>36000</c:v>
                </c:pt>
                <c:pt idx="8">
                  <c:v>12528</c:v>
                </c:pt>
                <c:pt idx="9">
                  <c:v>5370</c:v>
                </c:pt>
                <c:pt idx="12">
                  <c:v>14320</c:v>
                </c:pt>
                <c:pt idx="14">
                  <c:v>6040</c:v>
                </c:pt>
                <c:pt idx="15">
                  <c:v>9000</c:v>
                </c:pt>
                <c:pt idx="16">
                  <c:v>6000</c:v>
                </c:pt>
                <c:pt idx="17">
                  <c:v>7160</c:v>
                </c:pt>
                <c:pt idx="18">
                  <c:v>7160</c:v>
                </c:pt>
                <c:pt idx="19">
                  <c:v>7904</c:v>
                </c:pt>
                <c:pt idx="21">
                  <c:v>6816</c:v>
                </c:pt>
                <c:pt idx="26">
                  <c:v>10240</c:v>
                </c:pt>
                <c:pt idx="27">
                  <c:v>6264</c:v>
                </c:pt>
                <c:pt idx="28">
                  <c:v>9844</c:v>
                </c:pt>
                <c:pt idx="29">
                  <c:v>4140</c:v>
                </c:pt>
                <c:pt idx="30">
                  <c:v>29600</c:v>
                </c:pt>
                <c:pt idx="33">
                  <c:v>10840</c:v>
                </c:pt>
                <c:pt idx="36">
                  <c:v>22371</c:v>
                </c:pt>
                <c:pt idx="37">
                  <c:v>3480</c:v>
                </c:pt>
                <c:pt idx="38">
                  <c:v>6488</c:v>
                </c:pt>
                <c:pt idx="39">
                  <c:v>9840</c:v>
                </c:pt>
                <c:pt idx="43">
                  <c:v>5000</c:v>
                </c:pt>
                <c:pt idx="44">
                  <c:v>3480</c:v>
                </c:pt>
                <c:pt idx="45">
                  <c:v>2984</c:v>
                </c:pt>
                <c:pt idx="46">
                  <c:v>1864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EC-4AA4-B7B7-9E5F219ED6C1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76200">
                <a:solidFill>
                  <a:srgbClr val="FF0000"/>
                </a:solidFill>
              </a:ln>
              <a:effectLst/>
            </c:spPr>
          </c:marker>
          <c:xVal>
            <c:numRef>
              <c:f>'Mega Yacht'!$B$5</c:f>
              <c:numCache>
                <c:formatCode>General</c:formatCode>
                <c:ptCount val="1"/>
                <c:pt idx="0">
                  <c:v>20</c:v>
                </c:pt>
              </c:numCache>
            </c:numRef>
          </c:xVal>
          <c:yVal>
            <c:numRef>
              <c:f>'Mega Yacht'!$B$12</c:f>
              <c:numCache>
                <c:formatCode>General</c:formatCode>
                <c:ptCount val="1"/>
                <c:pt idx="0">
                  <c:v>1000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7EC-4AA4-B7B7-9E5F219ED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0562048"/>
        <c:axId val="700559424"/>
      </c:scatterChart>
      <c:valAx>
        <c:axId val="700562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559424"/>
        <c:crosses val="autoZero"/>
        <c:crossBetween val="midCat"/>
      </c:valAx>
      <c:valAx>
        <c:axId val="70055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Power (</a:t>
                </a:r>
                <a:r>
                  <a:rPr lang="en-US" baseline="0"/>
                  <a:t> KW)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562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'Mega Yacht'!$D$118:$D$164</c:f>
              <c:numCache>
                <c:formatCode>General</c:formatCode>
                <c:ptCount val="47"/>
                <c:pt idx="0">
                  <c:v>145.42000000000002</c:v>
                </c:pt>
                <c:pt idx="1">
                  <c:v>144.959</c:v>
                </c:pt>
                <c:pt idx="2">
                  <c:v>138.505</c:v>
                </c:pt>
                <c:pt idx="3">
                  <c:v>131.43</c:v>
                </c:pt>
                <c:pt idx="4">
                  <c:v>146</c:v>
                </c:pt>
                <c:pt idx="5">
                  <c:v>125.59700000000001</c:v>
                </c:pt>
                <c:pt idx="6">
                  <c:v>123.75300000000001</c:v>
                </c:pt>
                <c:pt idx="7">
                  <c:v>122.831</c:v>
                </c:pt>
                <c:pt idx="8">
                  <c:v>125.02</c:v>
                </c:pt>
                <c:pt idx="9">
                  <c:v>136</c:v>
                </c:pt>
                <c:pt idx="10">
                  <c:v>119.05080000000001</c:v>
                </c:pt>
                <c:pt idx="11">
                  <c:v>118.221</c:v>
                </c:pt>
                <c:pt idx="12">
                  <c:v>109.95</c:v>
                </c:pt>
                <c:pt idx="13">
                  <c:v>110.29180000000001</c:v>
                </c:pt>
                <c:pt idx="14">
                  <c:v>104.64</c:v>
                </c:pt>
                <c:pt idx="15">
                  <c:v>118.38</c:v>
                </c:pt>
                <c:pt idx="16">
                  <c:v>102.9158</c:v>
                </c:pt>
                <c:pt idx="17">
                  <c:v>104.4</c:v>
                </c:pt>
                <c:pt idx="18">
                  <c:v>115.8</c:v>
                </c:pt>
                <c:pt idx="19">
                  <c:v>99.9</c:v>
                </c:pt>
                <c:pt idx="20">
                  <c:v>101.625</c:v>
                </c:pt>
                <c:pt idx="21">
                  <c:v>99.596599999999995</c:v>
                </c:pt>
                <c:pt idx="22">
                  <c:v>97.6</c:v>
                </c:pt>
                <c:pt idx="23">
                  <c:v>97.015000000000001</c:v>
                </c:pt>
                <c:pt idx="24">
                  <c:v>96.554000000000002</c:v>
                </c:pt>
                <c:pt idx="25">
                  <c:v>92.405000000000001</c:v>
                </c:pt>
                <c:pt idx="26">
                  <c:v>89.6</c:v>
                </c:pt>
                <c:pt idx="27">
                  <c:v>91.483000000000004</c:v>
                </c:pt>
                <c:pt idx="28">
                  <c:v>82</c:v>
                </c:pt>
                <c:pt idx="29">
                  <c:v>99.15</c:v>
                </c:pt>
                <c:pt idx="30">
                  <c:v>85.213400000000007</c:v>
                </c:pt>
                <c:pt idx="31">
                  <c:v>85.176519999999996</c:v>
                </c:pt>
                <c:pt idx="32">
                  <c:v>84.660200000000003</c:v>
                </c:pt>
                <c:pt idx="33">
                  <c:v>86.5</c:v>
                </c:pt>
                <c:pt idx="34">
                  <c:v>83.98</c:v>
                </c:pt>
                <c:pt idx="35">
                  <c:v>84.106999999999999</c:v>
                </c:pt>
                <c:pt idx="36">
                  <c:v>83.185000000000002</c:v>
                </c:pt>
                <c:pt idx="37">
                  <c:v>81.248800000000003</c:v>
                </c:pt>
                <c:pt idx="38">
                  <c:v>80.787800000000004</c:v>
                </c:pt>
                <c:pt idx="39">
                  <c:v>80.557300000000012</c:v>
                </c:pt>
                <c:pt idx="40">
                  <c:v>80.418999999999997</c:v>
                </c:pt>
                <c:pt idx="41">
                  <c:v>78.759399999999999</c:v>
                </c:pt>
                <c:pt idx="42">
                  <c:v>79.128199999999993</c:v>
                </c:pt>
                <c:pt idx="43">
                  <c:v>82.15</c:v>
                </c:pt>
                <c:pt idx="44">
                  <c:v>64.92</c:v>
                </c:pt>
                <c:pt idx="45">
                  <c:v>78.575000000000003</c:v>
                </c:pt>
                <c:pt idx="46">
                  <c:v>80.73</c:v>
                </c:pt>
              </c:numCache>
            </c:numRef>
          </c:xVal>
          <c:yVal>
            <c:numRef>
              <c:f>'Mega Yacht'!$J$118:$J$164</c:f>
              <c:numCache>
                <c:formatCode>General</c:formatCode>
                <c:ptCount val="47"/>
                <c:pt idx="1">
                  <c:v>28708</c:v>
                </c:pt>
                <c:pt idx="3">
                  <c:v>11632</c:v>
                </c:pt>
                <c:pt idx="4">
                  <c:v>9694</c:v>
                </c:pt>
                <c:pt idx="5">
                  <c:v>15660</c:v>
                </c:pt>
                <c:pt idx="6">
                  <c:v>13000</c:v>
                </c:pt>
                <c:pt idx="7">
                  <c:v>36000</c:v>
                </c:pt>
                <c:pt idx="8">
                  <c:v>12528</c:v>
                </c:pt>
                <c:pt idx="9">
                  <c:v>5370</c:v>
                </c:pt>
                <c:pt idx="12">
                  <c:v>14320</c:v>
                </c:pt>
                <c:pt idx="14">
                  <c:v>6040</c:v>
                </c:pt>
                <c:pt idx="15">
                  <c:v>9000</c:v>
                </c:pt>
                <c:pt idx="16">
                  <c:v>6000</c:v>
                </c:pt>
                <c:pt idx="17">
                  <c:v>7160</c:v>
                </c:pt>
                <c:pt idx="18">
                  <c:v>7160</c:v>
                </c:pt>
                <c:pt idx="19">
                  <c:v>7904</c:v>
                </c:pt>
                <c:pt idx="21">
                  <c:v>6816</c:v>
                </c:pt>
                <c:pt idx="26">
                  <c:v>10240</c:v>
                </c:pt>
                <c:pt idx="27">
                  <c:v>6264</c:v>
                </c:pt>
                <c:pt idx="28">
                  <c:v>9844</c:v>
                </c:pt>
                <c:pt idx="29">
                  <c:v>4140</c:v>
                </c:pt>
                <c:pt idx="30">
                  <c:v>29600</c:v>
                </c:pt>
                <c:pt idx="33">
                  <c:v>10840</c:v>
                </c:pt>
                <c:pt idx="36">
                  <c:v>22371</c:v>
                </c:pt>
                <c:pt idx="37">
                  <c:v>3480</c:v>
                </c:pt>
                <c:pt idx="38">
                  <c:v>6488</c:v>
                </c:pt>
                <c:pt idx="39">
                  <c:v>9840</c:v>
                </c:pt>
                <c:pt idx="43">
                  <c:v>5000</c:v>
                </c:pt>
                <c:pt idx="44">
                  <c:v>3480</c:v>
                </c:pt>
                <c:pt idx="45">
                  <c:v>2984</c:v>
                </c:pt>
                <c:pt idx="46">
                  <c:v>1864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7D-429C-BF26-AB0BF6165724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76200">
                <a:solidFill>
                  <a:srgbClr val="FF0000"/>
                </a:solidFill>
              </a:ln>
              <a:effectLst/>
            </c:spPr>
          </c:marker>
          <c:xVal>
            <c:numRef>
              <c:f>'Mega Yacht'!$B$4</c:f>
              <c:numCache>
                <c:formatCode>General</c:formatCode>
                <c:ptCount val="1"/>
                <c:pt idx="0">
                  <c:v>80</c:v>
                </c:pt>
              </c:numCache>
            </c:numRef>
          </c:xVal>
          <c:yVal>
            <c:numRef>
              <c:f>'Mega Yacht'!$B$12</c:f>
              <c:numCache>
                <c:formatCode>General</c:formatCode>
                <c:ptCount val="1"/>
                <c:pt idx="0">
                  <c:v>1000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17D-429C-BF26-AB0BF6165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0562048"/>
        <c:axId val="700559424"/>
      </c:scatterChart>
      <c:valAx>
        <c:axId val="700562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559424"/>
        <c:crosses val="autoZero"/>
        <c:crossBetween val="midCat"/>
      </c:valAx>
      <c:valAx>
        <c:axId val="70055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Power (</a:t>
                </a:r>
                <a:r>
                  <a:rPr lang="en-US" baseline="0"/>
                  <a:t> KW)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562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'Mega Yacht'!$E$118:$E$164</c:f>
              <c:numCache>
                <c:formatCode>General</c:formatCode>
                <c:ptCount val="47"/>
                <c:pt idx="1">
                  <c:v>22</c:v>
                </c:pt>
                <c:pt idx="2">
                  <c:v>24</c:v>
                </c:pt>
                <c:pt idx="3">
                  <c:v>18.3</c:v>
                </c:pt>
                <c:pt idx="4">
                  <c:v>13</c:v>
                </c:pt>
                <c:pt idx="5">
                  <c:v>15</c:v>
                </c:pt>
                <c:pt idx="6">
                  <c:v>23.5</c:v>
                </c:pt>
                <c:pt idx="7">
                  <c:v>19</c:v>
                </c:pt>
                <c:pt idx="8">
                  <c:v>21.04</c:v>
                </c:pt>
                <c:pt idx="9">
                  <c:v>16</c:v>
                </c:pt>
                <c:pt idx="10">
                  <c:v>18.5</c:v>
                </c:pt>
                <c:pt idx="11">
                  <c:v>20</c:v>
                </c:pt>
                <c:pt idx="12">
                  <c:v>21</c:v>
                </c:pt>
                <c:pt idx="13">
                  <c:v>19.5</c:v>
                </c:pt>
                <c:pt idx="14">
                  <c:v>16.899999999999999</c:v>
                </c:pt>
                <c:pt idx="15">
                  <c:v>18.850000000000001</c:v>
                </c:pt>
                <c:pt idx="16">
                  <c:v>17.2</c:v>
                </c:pt>
                <c:pt idx="17">
                  <c:v>14.4</c:v>
                </c:pt>
                <c:pt idx="18">
                  <c:v>14.4</c:v>
                </c:pt>
                <c:pt idx="19">
                  <c:v>17.2</c:v>
                </c:pt>
                <c:pt idx="20">
                  <c:v>18</c:v>
                </c:pt>
                <c:pt idx="21">
                  <c:v>17.7</c:v>
                </c:pt>
                <c:pt idx="22">
                  <c:v>16.3</c:v>
                </c:pt>
                <c:pt idx="23">
                  <c:v>16.3</c:v>
                </c:pt>
                <c:pt idx="24">
                  <c:v>14.95</c:v>
                </c:pt>
                <c:pt idx="25">
                  <c:v>14.33</c:v>
                </c:pt>
                <c:pt idx="26">
                  <c:v>18.5</c:v>
                </c:pt>
                <c:pt idx="27">
                  <c:v>16.2</c:v>
                </c:pt>
                <c:pt idx="28">
                  <c:v>12.84</c:v>
                </c:pt>
                <c:pt idx="29">
                  <c:v>11.1</c:v>
                </c:pt>
                <c:pt idx="30">
                  <c:v>16</c:v>
                </c:pt>
                <c:pt idx="31">
                  <c:v>14.25</c:v>
                </c:pt>
                <c:pt idx="33">
                  <c:v>12.4</c:v>
                </c:pt>
                <c:pt idx="34">
                  <c:v>16.22</c:v>
                </c:pt>
                <c:pt idx="36">
                  <c:v>15</c:v>
                </c:pt>
                <c:pt idx="37">
                  <c:v>13.5</c:v>
                </c:pt>
                <c:pt idx="38">
                  <c:v>14.95</c:v>
                </c:pt>
                <c:pt idx="39">
                  <c:v>12.8</c:v>
                </c:pt>
                <c:pt idx="40">
                  <c:v>15.9</c:v>
                </c:pt>
                <c:pt idx="41">
                  <c:v>12</c:v>
                </c:pt>
                <c:pt idx="43">
                  <c:v>15</c:v>
                </c:pt>
                <c:pt idx="44">
                  <c:v>12</c:v>
                </c:pt>
                <c:pt idx="45">
                  <c:v>12.2</c:v>
                </c:pt>
                <c:pt idx="46">
                  <c:v>14.44</c:v>
                </c:pt>
              </c:numCache>
            </c:numRef>
          </c:xVal>
          <c:yVal>
            <c:numRef>
              <c:f>'Mega Yacht'!$F$118:$F$164</c:f>
              <c:numCache>
                <c:formatCode>General</c:formatCode>
                <c:ptCount val="47"/>
                <c:pt idx="1">
                  <c:v>5</c:v>
                </c:pt>
                <c:pt idx="2">
                  <c:v>5.2</c:v>
                </c:pt>
                <c:pt idx="3">
                  <c:v>4.9000000000000004</c:v>
                </c:pt>
                <c:pt idx="4">
                  <c:v>5.35</c:v>
                </c:pt>
                <c:pt idx="5">
                  <c:v>4.3</c:v>
                </c:pt>
                <c:pt idx="6">
                  <c:v>5</c:v>
                </c:pt>
                <c:pt idx="7">
                  <c:v>4.9000000000000004</c:v>
                </c:pt>
                <c:pt idx="8">
                  <c:v>6.01</c:v>
                </c:pt>
                <c:pt idx="9">
                  <c:v>6.1</c:v>
                </c:pt>
                <c:pt idx="10">
                  <c:v>5.5</c:v>
                </c:pt>
                <c:pt idx="11">
                  <c:v>4.9000000000000004</c:v>
                </c:pt>
                <c:pt idx="12">
                  <c:v>5.85</c:v>
                </c:pt>
                <c:pt idx="14">
                  <c:v>5.55</c:v>
                </c:pt>
                <c:pt idx="15">
                  <c:v>5.15</c:v>
                </c:pt>
                <c:pt idx="16">
                  <c:v>4.4000000000000004</c:v>
                </c:pt>
                <c:pt idx="17">
                  <c:v>4.3</c:v>
                </c:pt>
                <c:pt idx="18">
                  <c:v>4.3</c:v>
                </c:pt>
                <c:pt idx="19">
                  <c:v>4.6500000000000004</c:v>
                </c:pt>
                <c:pt idx="21">
                  <c:v>4.5999999999999996</c:v>
                </c:pt>
                <c:pt idx="22">
                  <c:v>4.4000000000000004</c:v>
                </c:pt>
                <c:pt idx="23">
                  <c:v>3.2</c:v>
                </c:pt>
                <c:pt idx="24">
                  <c:v>5.15</c:v>
                </c:pt>
                <c:pt idx="26">
                  <c:v>5.5</c:v>
                </c:pt>
                <c:pt idx="27">
                  <c:v>5</c:v>
                </c:pt>
                <c:pt idx="28">
                  <c:v>4.2</c:v>
                </c:pt>
                <c:pt idx="29">
                  <c:v>4.25</c:v>
                </c:pt>
                <c:pt idx="30">
                  <c:v>4.8</c:v>
                </c:pt>
                <c:pt idx="31">
                  <c:v>4.2</c:v>
                </c:pt>
                <c:pt idx="33">
                  <c:v>4.4000000000000004</c:v>
                </c:pt>
                <c:pt idx="34">
                  <c:v>4.4000000000000004</c:v>
                </c:pt>
                <c:pt idx="36">
                  <c:v>4.5</c:v>
                </c:pt>
                <c:pt idx="38">
                  <c:v>4.3</c:v>
                </c:pt>
                <c:pt idx="39">
                  <c:v>4.2</c:v>
                </c:pt>
                <c:pt idx="40">
                  <c:v>4.25</c:v>
                </c:pt>
                <c:pt idx="41">
                  <c:v>4.5</c:v>
                </c:pt>
                <c:pt idx="43">
                  <c:v>4.8499999999999996</c:v>
                </c:pt>
                <c:pt idx="44">
                  <c:v>4.9000000000000004</c:v>
                </c:pt>
                <c:pt idx="45">
                  <c:v>5.5</c:v>
                </c:pt>
                <c:pt idx="46">
                  <c:v>3.95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953-4E2F-A1BC-01AFCB7968EF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76200">
                <a:solidFill>
                  <a:srgbClr val="FF0000"/>
                </a:solidFill>
              </a:ln>
              <a:effectLst/>
            </c:spPr>
          </c:marker>
          <c:xVal>
            <c:numRef>
              <c:f>'Mega Yacht'!$B$5</c:f>
              <c:numCache>
                <c:formatCode>General</c:formatCode>
                <c:ptCount val="1"/>
                <c:pt idx="0">
                  <c:v>20</c:v>
                </c:pt>
              </c:numCache>
            </c:numRef>
          </c:xVal>
          <c:yVal>
            <c:numRef>
              <c:f>'Mega Yacht'!$B$6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953-4E2F-A1BC-01AFCB796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0562048"/>
        <c:axId val="700559424"/>
      </c:scatterChart>
      <c:valAx>
        <c:axId val="700562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559424"/>
        <c:crosses val="autoZero"/>
        <c:crossBetween val="midCat"/>
      </c:valAx>
      <c:valAx>
        <c:axId val="70055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Draught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562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0"/>
          </c:trendline>
          <c:xVal>
            <c:numRef>
              <c:f>Cruise!$T$104:$T$342</c:f>
              <c:numCache>
                <c:formatCode>General</c:formatCode>
                <c:ptCount val="239"/>
                <c:pt idx="0">
                  <c:v>0.72543307106340671</c:v>
                </c:pt>
                <c:pt idx="1">
                  <c:v>0.71416804198452466</c:v>
                </c:pt>
                <c:pt idx="2">
                  <c:v>0.69692545489470259</c:v>
                </c:pt>
                <c:pt idx="3">
                  <c:v>0.66409617235533736</c:v>
                </c:pt>
                <c:pt idx="4">
                  <c:v>0.71416804198452466</c:v>
                </c:pt>
                <c:pt idx="5">
                  <c:v>0.53239192769005328</c:v>
                </c:pt>
                <c:pt idx="6">
                  <c:v>0.75250373507819091</c:v>
                </c:pt>
                <c:pt idx="7">
                  <c:v>0.68659881521543842</c:v>
                </c:pt>
                <c:pt idx="8">
                  <c:v>0.71252768753672735</c:v>
                </c:pt>
                <c:pt idx="9">
                  <c:v>0.71701177073107503</c:v>
                </c:pt>
                <c:pt idx="10">
                  <c:v>0.73307299287969996</c:v>
                </c:pt>
                <c:pt idx="11">
                  <c:v>0.73392372254878535</c:v>
                </c:pt>
                <c:pt idx="12">
                  <c:v>0.6933039954989304</c:v>
                </c:pt>
                <c:pt idx="13">
                  <c:v>0.63189328613580176</c:v>
                </c:pt>
                <c:pt idx="14">
                  <c:v>0.71270922230486899</c:v>
                </c:pt>
                <c:pt idx="15">
                  <c:v>0.74384380300723874</c:v>
                </c:pt>
                <c:pt idx="16">
                  <c:v>0.72715216393728876</c:v>
                </c:pt>
                <c:pt idx="17">
                  <c:v>0.6933039954989304</c:v>
                </c:pt>
                <c:pt idx="18">
                  <c:v>0.5777916610749132</c:v>
                </c:pt>
                <c:pt idx="19">
                  <c:v>0.72043486335325047</c:v>
                </c:pt>
                <c:pt idx="20">
                  <c:v>0.68314738387088458</c:v>
                </c:pt>
                <c:pt idx="21">
                  <c:v>0.70431576726608824</c:v>
                </c:pt>
                <c:pt idx="22">
                  <c:v>0.85302276905480645</c:v>
                </c:pt>
                <c:pt idx="23">
                  <c:v>0.69657677278578867</c:v>
                </c:pt>
                <c:pt idx="24">
                  <c:v>0.54800001693690259</c:v>
                </c:pt>
                <c:pt idx="25">
                  <c:v>0.68228890808719889</c:v>
                </c:pt>
                <c:pt idx="26">
                  <c:v>0.57387948570000669</c:v>
                </c:pt>
                <c:pt idx="27">
                  <c:v>0.60267030291039458</c:v>
                </c:pt>
                <c:pt idx="28">
                  <c:v>0.6054925129290647</c:v>
                </c:pt>
                <c:pt idx="29">
                  <c:v>0.71794917031587868</c:v>
                </c:pt>
                <c:pt idx="30">
                  <c:v>0.66889278818273712</c:v>
                </c:pt>
                <c:pt idx="31">
                  <c:v>0.66889278818273712</c:v>
                </c:pt>
                <c:pt idx="33">
                  <c:v>0.63990388303604573</c:v>
                </c:pt>
                <c:pt idx="34">
                  <c:v>0.69222132250082069</c:v>
                </c:pt>
                <c:pt idx="35">
                  <c:v>0.64575730166937817</c:v>
                </c:pt>
                <c:pt idx="36">
                  <c:v>0.67908682640881479</c:v>
                </c:pt>
                <c:pt idx="37">
                  <c:v>0.67908682640881479</c:v>
                </c:pt>
                <c:pt idx="38">
                  <c:v>0.68954669392850665</c:v>
                </c:pt>
                <c:pt idx="39">
                  <c:v>0.71097087069587106</c:v>
                </c:pt>
                <c:pt idx="40">
                  <c:v>0.72746781977090391</c:v>
                </c:pt>
                <c:pt idx="41">
                  <c:v>0.76005293119051354</c:v>
                </c:pt>
                <c:pt idx="42">
                  <c:v>0.76005293119051354</c:v>
                </c:pt>
                <c:pt idx="43">
                  <c:v>0.77059722646663231</c:v>
                </c:pt>
                <c:pt idx="44">
                  <c:v>0.58660965790374631</c:v>
                </c:pt>
                <c:pt idx="45">
                  <c:v>0.7219636907330762</c:v>
                </c:pt>
                <c:pt idx="46">
                  <c:v>0.73736081729238412</c:v>
                </c:pt>
                <c:pt idx="47">
                  <c:v>0.59126264808454887</c:v>
                </c:pt>
                <c:pt idx="48">
                  <c:v>0.67624959691871978</c:v>
                </c:pt>
                <c:pt idx="49">
                  <c:v>0.55753561143478381</c:v>
                </c:pt>
                <c:pt idx="50">
                  <c:v>0.60671977614226891</c:v>
                </c:pt>
                <c:pt idx="51">
                  <c:v>0.58864704223049147</c:v>
                </c:pt>
                <c:pt idx="52">
                  <c:v>0.72543307106340671</c:v>
                </c:pt>
                <c:pt idx="53">
                  <c:v>0.58975286517554593</c:v>
                </c:pt>
                <c:pt idx="54">
                  <c:v>0.63950823944582036</c:v>
                </c:pt>
                <c:pt idx="55">
                  <c:v>0.76478720504436437</c:v>
                </c:pt>
                <c:pt idx="56">
                  <c:v>0.75041719914816696</c:v>
                </c:pt>
                <c:pt idx="57">
                  <c:v>0.73558017369671602</c:v>
                </c:pt>
                <c:pt idx="58">
                  <c:v>0.61328979959736341</c:v>
                </c:pt>
                <c:pt idx="59">
                  <c:v>0.72543307106340671</c:v>
                </c:pt>
                <c:pt idx="60">
                  <c:v>0.51247648075843277</c:v>
                </c:pt>
                <c:pt idx="61">
                  <c:v>0.36882051468230759</c:v>
                </c:pt>
                <c:pt idx="62">
                  <c:v>0.59276120173694258</c:v>
                </c:pt>
                <c:pt idx="63">
                  <c:v>0.85015649148265238</c:v>
                </c:pt>
                <c:pt idx="64">
                  <c:v>0.69135312556741524</c:v>
                </c:pt>
                <c:pt idx="65">
                  <c:v>0.80398250638324764</c:v>
                </c:pt>
                <c:pt idx="66">
                  <c:v>0.6946417080039532</c:v>
                </c:pt>
                <c:pt idx="67">
                  <c:v>0.66863679493901595</c:v>
                </c:pt>
                <c:pt idx="68">
                  <c:v>0.72543307106340671</c:v>
                </c:pt>
                <c:pt idx="69">
                  <c:v>0.55581028849447489</c:v>
                </c:pt>
                <c:pt idx="70">
                  <c:v>0.74471193568942451</c:v>
                </c:pt>
                <c:pt idx="71">
                  <c:v>0.708977507528747</c:v>
                </c:pt>
                <c:pt idx="72">
                  <c:v>0.71870765359746636</c:v>
                </c:pt>
                <c:pt idx="73">
                  <c:v>0.6844469994908271</c:v>
                </c:pt>
                <c:pt idx="74">
                  <c:v>0.70416154378885376</c:v>
                </c:pt>
                <c:pt idx="75">
                  <c:v>0.73796948721648814</c:v>
                </c:pt>
                <c:pt idx="76">
                  <c:v>0.77177613757489016</c:v>
                </c:pt>
                <c:pt idx="77">
                  <c:v>0.65462971434878647</c:v>
                </c:pt>
                <c:pt idx="78">
                  <c:v>0.63154532643712546</c:v>
                </c:pt>
                <c:pt idx="79">
                  <c:v>0.65237338532290301</c:v>
                </c:pt>
                <c:pt idx="80">
                  <c:v>0.73985072627910786</c:v>
                </c:pt>
                <c:pt idx="82">
                  <c:v>0.76948087697367362</c:v>
                </c:pt>
                <c:pt idx="83">
                  <c:v>0.71914444779470932</c:v>
                </c:pt>
                <c:pt idx="84">
                  <c:v>0.61832752643166522</c:v>
                </c:pt>
                <c:pt idx="85">
                  <c:v>0.76948087697367362</c:v>
                </c:pt>
                <c:pt idx="86">
                  <c:v>0.52539461145971722</c:v>
                </c:pt>
                <c:pt idx="87">
                  <c:v>0.67229116652294552</c:v>
                </c:pt>
                <c:pt idx="88">
                  <c:v>0.59859561059286337</c:v>
                </c:pt>
                <c:pt idx="89">
                  <c:v>0.68659881521543842</c:v>
                </c:pt>
                <c:pt idx="90">
                  <c:v>0.62922188184358196</c:v>
                </c:pt>
                <c:pt idx="91">
                  <c:v>0.70416154378885376</c:v>
                </c:pt>
                <c:pt idx="92">
                  <c:v>0.58166086977209841</c:v>
                </c:pt>
                <c:pt idx="93">
                  <c:v>0.74607679180497311</c:v>
                </c:pt>
                <c:pt idx="94">
                  <c:v>0.49613041855166051</c:v>
                </c:pt>
                <c:pt idx="95">
                  <c:v>0.73799926743335476</c:v>
                </c:pt>
                <c:pt idx="96">
                  <c:v>0.73205921110554861</c:v>
                </c:pt>
                <c:pt idx="97">
                  <c:v>0.74771527080788558</c:v>
                </c:pt>
                <c:pt idx="98">
                  <c:v>0.72914012309670695</c:v>
                </c:pt>
                <c:pt idx="99">
                  <c:v>0.72026711898590601</c:v>
                </c:pt>
                <c:pt idx="100">
                  <c:v>0.69074562711698873</c:v>
                </c:pt>
                <c:pt idx="101">
                  <c:v>0.7047927188428178</c:v>
                </c:pt>
                <c:pt idx="102">
                  <c:v>0.75543360150178573</c:v>
                </c:pt>
                <c:pt idx="103">
                  <c:v>0.73420913126578147</c:v>
                </c:pt>
                <c:pt idx="104">
                  <c:v>0.73420913126578147</c:v>
                </c:pt>
                <c:pt idx="105">
                  <c:v>0.6235940726734579</c:v>
                </c:pt>
                <c:pt idx="106">
                  <c:v>0.79680464468218148</c:v>
                </c:pt>
                <c:pt idx="107">
                  <c:v>0.6904594226393298</c:v>
                </c:pt>
                <c:pt idx="108">
                  <c:v>0.7623736741474878</c:v>
                </c:pt>
                <c:pt idx="109">
                  <c:v>0.68659881521543842</c:v>
                </c:pt>
                <c:pt idx="110">
                  <c:v>0.71870765359746636</c:v>
                </c:pt>
                <c:pt idx="111">
                  <c:v>0.54301462783752641</c:v>
                </c:pt>
                <c:pt idx="112">
                  <c:v>0.74603462993966774</c:v>
                </c:pt>
                <c:pt idx="113">
                  <c:v>0.68659881521543842</c:v>
                </c:pt>
                <c:pt idx="114">
                  <c:v>0.44782042601050109</c:v>
                </c:pt>
                <c:pt idx="115">
                  <c:v>0.66853845217752206</c:v>
                </c:pt>
                <c:pt idx="116">
                  <c:v>0.60357761125883758</c:v>
                </c:pt>
                <c:pt idx="117">
                  <c:v>0.62991061208833576</c:v>
                </c:pt>
                <c:pt idx="118">
                  <c:v>0.60168514948262042</c:v>
                </c:pt>
                <c:pt idx="119">
                  <c:v>0.6785953704516321</c:v>
                </c:pt>
                <c:pt idx="120">
                  <c:v>0.64814998538273028</c:v>
                </c:pt>
                <c:pt idx="121">
                  <c:v>0.65014673433358994</c:v>
                </c:pt>
                <c:pt idx="122">
                  <c:v>0.66799242280786963</c:v>
                </c:pt>
                <c:pt idx="123">
                  <c:v>0.70247805133665719</c:v>
                </c:pt>
                <c:pt idx="124">
                  <c:v>0.62768760832767401</c:v>
                </c:pt>
                <c:pt idx="125">
                  <c:v>0.63973153109609238</c:v>
                </c:pt>
                <c:pt idx="126">
                  <c:v>0.68156620226913267</c:v>
                </c:pt>
                <c:pt idx="128">
                  <c:v>0.6904594226393298</c:v>
                </c:pt>
                <c:pt idx="130">
                  <c:v>0.6200211657011101</c:v>
                </c:pt>
                <c:pt idx="131">
                  <c:v>0.659643514252926</c:v>
                </c:pt>
                <c:pt idx="132">
                  <c:v>0.71947829448611433</c:v>
                </c:pt>
                <c:pt idx="133">
                  <c:v>0.67658823155719761</c:v>
                </c:pt>
                <c:pt idx="134">
                  <c:v>0.6988335790803808</c:v>
                </c:pt>
                <c:pt idx="135">
                  <c:v>0.69856876207257512</c:v>
                </c:pt>
                <c:pt idx="136">
                  <c:v>0.71208198368961151</c:v>
                </c:pt>
                <c:pt idx="137">
                  <c:v>0.67135206535342196</c:v>
                </c:pt>
                <c:pt idx="138">
                  <c:v>0.67624959691871978</c:v>
                </c:pt>
                <c:pt idx="139">
                  <c:v>0.70247805133665719</c:v>
                </c:pt>
                <c:pt idx="141">
                  <c:v>0.76228266848038051</c:v>
                </c:pt>
              </c:numCache>
            </c:numRef>
          </c:xVal>
          <c:yVal>
            <c:numRef>
              <c:f>Cruise!$AD$104:$AD$342</c:f>
              <c:numCache>
                <c:formatCode>General</c:formatCode>
                <c:ptCount val="239"/>
                <c:pt idx="0">
                  <c:v>0.19177383773299378</c:v>
                </c:pt>
                <c:pt idx="1">
                  <c:v>0.19417334453130139</c:v>
                </c:pt>
                <c:pt idx="2">
                  <c:v>0.20889936915619484</c:v>
                </c:pt>
                <c:pt idx="3">
                  <c:v>0.23623579218741944</c:v>
                </c:pt>
                <c:pt idx="4">
                  <c:v>0.19417334453130139</c:v>
                </c:pt>
                <c:pt idx="5">
                  <c:v>0.32051220967124039</c:v>
                </c:pt>
                <c:pt idx="6">
                  <c:v>0.19374134089527265</c:v>
                </c:pt>
                <c:pt idx="7">
                  <c:v>0.21871001730863635</c:v>
                </c:pt>
                <c:pt idx="8">
                  <c:v>0.21118308953121082</c:v>
                </c:pt>
                <c:pt idx="9">
                  <c:v>0.21026029149149769</c:v>
                </c:pt>
                <c:pt idx="10">
                  <c:v>0.20158385818888308</c:v>
                </c:pt>
                <c:pt idx="11">
                  <c:v>0.19823530390386421</c:v>
                </c:pt>
                <c:pt idx="12">
                  <c:v>0.21026029149149769</c:v>
                </c:pt>
                <c:pt idx="13">
                  <c:v>0.25287444250112412</c:v>
                </c:pt>
                <c:pt idx="14">
                  <c:v>0.21265105728338976</c:v>
                </c:pt>
                <c:pt idx="15">
                  <c:v>0.20158385818888308</c:v>
                </c:pt>
                <c:pt idx="16">
                  <c:v>0.21027866100893008</c:v>
                </c:pt>
                <c:pt idx="17">
                  <c:v>0.21026029149149769</c:v>
                </c:pt>
                <c:pt idx="18">
                  <c:v>0.29250652558915807</c:v>
                </c:pt>
                <c:pt idx="19">
                  <c:v>0.21160865893867289</c:v>
                </c:pt>
                <c:pt idx="20">
                  <c:v>0.22408168608878659</c:v>
                </c:pt>
                <c:pt idx="21">
                  <c:v>0.21634866619748164</c:v>
                </c:pt>
                <c:pt idx="22">
                  <c:v>0.15284688310606867</c:v>
                </c:pt>
                <c:pt idx="23">
                  <c:v>0.22105045954436184</c:v>
                </c:pt>
                <c:pt idx="24">
                  <c:v>0.30210426699248694</c:v>
                </c:pt>
                <c:pt idx="25">
                  <c:v>0.23026089535871025</c:v>
                </c:pt>
                <c:pt idx="26">
                  <c:v>0.28422827486275404</c:v>
                </c:pt>
                <c:pt idx="27">
                  <c:v>0.26064841059555832</c:v>
                </c:pt>
                <c:pt idx="28">
                  <c:v>0.25430636697179176</c:v>
                </c:pt>
                <c:pt idx="29">
                  <c:v>0.19615301580768041</c:v>
                </c:pt>
                <c:pt idx="30">
                  <c:v>0.22441238602058289</c:v>
                </c:pt>
                <c:pt idx="31">
                  <c:v>0.22441238602058289</c:v>
                </c:pt>
                <c:pt idx="32">
                  <c:v>0.35280601553309021</c:v>
                </c:pt>
                <c:pt idx="33">
                  <c:v>0.24045020189091543</c:v>
                </c:pt>
                <c:pt idx="34">
                  <c:v>0.22880896351254673</c:v>
                </c:pt>
                <c:pt idx="35">
                  <c:v>0.2347660691259891</c:v>
                </c:pt>
                <c:pt idx="36">
                  <c:v>0.22745114832108235</c:v>
                </c:pt>
                <c:pt idx="37">
                  <c:v>0.22745114832108235</c:v>
                </c:pt>
                <c:pt idx="38">
                  <c:v>0.22251857675138123</c:v>
                </c:pt>
                <c:pt idx="39">
                  <c:v>0.21236602940976612</c:v>
                </c:pt>
                <c:pt idx="40">
                  <c:v>0.20158385818888308</c:v>
                </c:pt>
                <c:pt idx="41">
                  <c:v>0.1950377506305227</c:v>
                </c:pt>
                <c:pt idx="42">
                  <c:v>0.1950377506305227</c:v>
                </c:pt>
                <c:pt idx="43">
                  <c:v>0.18354049686466092</c:v>
                </c:pt>
                <c:pt idx="44">
                  <c:v>0.26964154298854281</c:v>
                </c:pt>
                <c:pt idx="45">
                  <c:v>0.20638347386004696</c:v>
                </c:pt>
                <c:pt idx="46">
                  <c:v>0.2070134295972465</c:v>
                </c:pt>
                <c:pt idx="47">
                  <c:v>0.27628150120582423</c:v>
                </c:pt>
                <c:pt idx="48">
                  <c:v>0.22004066884452522</c:v>
                </c:pt>
                <c:pt idx="49">
                  <c:v>0.30596518104177289</c:v>
                </c:pt>
                <c:pt idx="50">
                  <c:v>0.26207945569000185</c:v>
                </c:pt>
                <c:pt idx="51">
                  <c:v>0.27755293682764109</c:v>
                </c:pt>
                <c:pt idx="52">
                  <c:v>0.19177383773299378</c:v>
                </c:pt>
                <c:pt idx="53">
                  <c:v>0.2680525092545481</c:v>
                </c:pt>
                <c:pt idx="54">
                  <c:v>0.24693793032656736</c:v>
                </c:pt>
                <c:pt idx="55">
                  <c:v>0.18830960616700107</c:v>
                </c:pt>
                <c:pt idx="56">
                  <c:v>0.18992654471865639</c:v>
                </c:pt>
                <c:pt idx="57">
                  <c:v>0.20414234682814006</c:v>
                </c:pt>
                <c:pt idx="58">
                  <c:v>0.25930194304761078</c:v>
                </c:pt>
                <c:pt idx="59">
                  <c:v>0.19177383773299378</c:v>
                </c:pt>
                <c:pt idx="60">
                  <c:v>0.34334508708706568</c:v>
                </c:pt>
                <c:pt idx="61">
                  <c:v>0.20378510156868146</c:v>
                </c:pt>
                <c:pt idx="62">
                  <c:v>0.26860991352173547</c:v>
                </c:pt>
                <c:pt idx="63">
                  <c:v>0.13957229556066417</c:v>
                </c:pt>
                <c:pt idx="64">
                  <c:v>0.22912090498461177</c:v>
                </c:pt>
                <c:pt idx="65">
                  <c:v>0.17155297678643538</c:v>
                </c:pt>
                <c:pt idx="66">
                  <c:v>0.21948824590859134</c:v>
                </c:pt>
                <c:pt idx="67">
                  <c:v>0.22885662708217377</c:v>
                </c:pt>
                <c:pt idx="68">
                  <c:v>0.19177383773299378</c:v>
                </c:pt>
                <c:pt idx="69">
                  <c:v>0.31213189735187785</c:v>
                </c:pt>
                <c:pt idx="70">
                  <c:v>0.19860353294081731</c:v>
                </c:pt>
                <c:pt idx="71">
                  <c:v>0.21460731965100405</c:v>
                </c:pt>
                <c:pt idx="72">
                  <c:v>0.20636146018015603</c:v>
                </c:pt>
                <c:pt idx="73">
                  <c:v>0.22245315897053158</c:v>
                </c:pt>
                <c:pt idx="74">
                  <c:v>0.20425716095272381</c:v>
                </c:pt>
                <c:pt idx="75">
                  <c:v>0.19953031881883129</c:v>
                </c:pt>
                <c:pt idx="76">
                  <c:v>0.17840568198667509</c:v>
                </c:pt>
                <c:pt idx="77">
                  <c:v>0.23273689015284979</c:v>
                </c:pt>
                <c:pt idx="78">
                  <c:v>0.25429811460316359</c:v>
                </c:pt>
                <c:pt idx="79">
                  <c:v>0.23602404906086127</c:v>
                </c:pt>
                <c:pt idx="80">
                  <c:v>0.20200396162408996</c:v>
                </c:pt>
                <c:pt idx="81">
                  <c:v>0.44090387965346683</c:v>
                </c:pt>
                <c:pt idx="82">
                  <c:v>0.18811898865214588</c:v>
                </c:pt>
                <c:pt idx="83">
                  <c:v>0.21230571576456461</c:v>
                </c:pt>
                <c:pt idx="84">
                  <c:v>0.2554443112278022</c:v>
                </c:pt>
                <c:pt idx="85">
                  <c:v>0.18811898865214588</c:v>
                </c:pt>
                <c:pt idx="86">
                  <c:v>0.31843057974972605</c:v>
                </c:pt>
                <c:pt idx="87">
                  <c:v>0.22510676961484705</c:v>
                </c:pt>
                <c:pt idx="88">
                  <c:v>0.27031148265557203</c:v>
                </c:pt>
                <c:pt idx="89">
                  <c:v>0.21871001730863635</c:v>
                </c:pt>
                <c:pt idx="90">
                  <c:v>0.25024269799206761</c:v>
                </c:pt>
                <c:pt idx="91">
                  <c:v>0.20425716095272381</c:v>
                </c:pt>
                <c:pt idx="92">
                  <c:v>0.27626833099652109</c:v>
                </c:pt>
                <c:pt idx="93">
                  <c:v>0.19525466199471175</c:v>
                </c:pt>
                <c:pt idx="94">
                  <c:v>0.33826509272371436</c:v>
                </c:pt>
                <c:pt idx="95">
                  <c:v>0.19827145294295823</c:v>
                </c:pt>
                <c:pt idx="96">
                  <c:v>0.20020261366122599</c:v>
                </c:pt>
                <c:pt idx="97">
                  <c:v>0.19474442682016732</c:v>
                </c:pt>
                <c:pt idx="98">
                  <c:v>0.20280355631392272</c:v>
                </c:pt>
                <c:pt idx="99">
                  <c:v>0.20536204453804524</c:v>
                </c:pt>
                <c:pt idx="100">
                  <c:v>0.22062168104431007</c:v>
                </c:pt>
                <c:pt idx="101">
                  <c:v>0.20969766171906395</c:v>
                </c:pt>
                <c:pt idx="102">
                  <c:v>0.19284475640433277</c:v>
                </c:pt>
                <c:pt idx="103">
                  <c:v>0.20688143784259436</c:v>
                </c:pt>
                <c:pt idx="104">
                  <c:v>0.20688143784259436</c:v>
                </c:pt>
                <c:pt idx="105">
                  <c:v>0.26402628468667921</c:v>
                </c:pt>
                <c:pt idx="106">
                  <c:v>0.17828031740352601</c:v>
                </c:pt>
                <c:pt idx="107">
                  <c:v>0.22072750949912298</c:v>
                </c:pt>
                <c:pt idx="108">
                  <c:v>0.18357293635931402</c:v>
                </c:pt>
                <c:pt idx="109">
                  <c:v>0.21871001730863635</c:v>
                </c:pt>
                <c:pt idx="110">
                  <c:v>0.20636146018015603</c:v>
                </c:pt>
                <c:pt idx="111">
                  <c:v>0.29843797913428499</c:v>
                </c:pt>
                <c:pt idx="112">
                  <c:v>0.19797081372082884</c:v>
                </c:pt>
                <c:pt idx="113">
                  <c:v>0.21871001730863635</c:v>
                </c:pt>
                <c:pt idx="114">
                  <c:v>0.3837284866971315</c:v>
                </c:pt>
                <c:pt idx="115">
                  <c:v>0.23021615409813859</c:v>
                </c:pt>
                <c:pt idx="116">
                  <c:v>0.26731428891763087</c:v>
                </c:pt>
                <c:pt idx="117">
                  <c:v>0.25557922152530033</c:v>
                </c:pt>
                <c:pt idx="118">
                  <c:v>0.26820981668208232</c:v>
                </c:pt>
                <c:pt idx="119">
                  <c:v>0.22354354432579934</c:v>
                </c:pt>
                <c:pt idx="120">
                  <c:v>0.24105710171063577</c:v>
                </c:pt>
                <c:pt idx="121">
                  <c:v>0.244050979608569</c:v>
                </c:pt>
                <c:pt idx="122">
                  <c:v>0.22884632922905496</c:v>
                </c:pt>
                <c:pt idx="123">
                  <c:v>0.22495755927677683</c:v>
                </c:pt>
                <c:pt idx="124">
                  <c:v>0.24728526139792004</c:v>
                </c:pt>
                <c:pt idx="125">
                  <c:v>0.24092099310119752</c:v>
                </c:pt>
                <c:pt idx="126">
                  <c:v>0.22021739208620469</c:v>
                </c:pt>
                <c:pt idx="127">
                  <c:v>0.2370300780493943</c:v>
                </c:pt>
                <c:pt idx="128">
                  <c:v>0.22072750949912298</c:v>
                </c:pt>
                <c:pt idx="129">
                  <c:v>0.18289933907878095</c:v>
                </c:pt>
                <c:pt idx="130">
                  <c:v>0.24985164020118894</c:v>
                </c:pt>
                <c:pt idx="131">
                  <c:v>0.241368333750485</c:v>
                </c:pt>
                <c:pt idx="132">
                  <c:v>0.20946031284649047</c:v>
                </c:pt>
                <c:pt idx="133">
                  <c:v>0.22299144062716381</c:v>
                </c:pt>
                <c:pt idx="134">
                  <c:v>0.21748186621427212</c:v>
                </c:pt>
                <c:pt idx="135">
                  <c:v>0.21757723208871471</c:v>
                </c:pt>
                <c:pt idx="136">
                  <c:v>0.21530595233673852</c:v>
                </c:pt>
                <c:pt idx="137">
                  <c:v>0.2275125850141097</c:v>
                </c:pt>
                <c:pt idx="138">
                  <c:v>0.22004066884452522</c:v>
                </c:pt>
                <c:pt idx="139">
                  <c:v>0.22495755927677683</c:v>
                </c:pt>
                <c:pt idx="140">
                  <c:v>0.35280601553309021</c:v>
                </c:pt>
                <c:pt idx="141">
                  <c:v>0.18577502800100948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395-4B6D-8938-3AA127699CC2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76200">
                <a:solidFill>
                  <a:srgbClr val="FF0000"/>
                </a:solidFill>
              </a:ln>
              <a:effectLst/>
            </c:spPr>
          </c:marker>
          <c:xVal>
            <c:numRef>
              <c:f>Cruise!$B$7</c:f>
              <c:numCache>
                <c:formatCode>General</c:formatCode>
                <c:ptCount val="1"/>
                <c:pt idx="0">
                  <c:v>0.75</c:v>
                </c:pt>
              </c:numCache>
            </c:numRef>
          </c:xVal>
          <c:yVal>
            <c:numRef>
              <c:f>Cruise!$B$14</c:f>
              <c:numCache>
                <c:formatCode>General</c:formatCode>
                <c:ptCount val="1"/>
                <c:pt idx="0">
                  <c:v>0.1766840994720856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A9A-4B7F-A26F-B157FFA19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5669952"/>
        <c:axId val="635667000"/>
      </c:scatterChart>
      <c:valAx>
        <c:axId val="635669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Cb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667000"/>
        <c:crosses val="autoZero"/>
        <c:crossBetween val="midCat"/>
      </c:valAx>
      <c:valAx>
        <c:axId val="635667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Fn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669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'Mega Yacht'!$D$118:$D$164</c:f>
              <c:numCache>
                <c:formatCode>General</c:formatCode>
                <c:ptCount val="47"/>
                <c:pt idx="0">
                  <c:v>145.42000000000002</c:v>
                </c:pt>
                <c:pt idx="1">
                  <c:v>144.959</c:v>
                </c:pt>
                <c:pt idx="2">
                  <c:v>138.505</c:v>
                </c:pt>
                <c:pt idx="3">
                  <c:v>131.43</c:v>
                </c:pt>
                <c:pt idx="4">
                  <c:v>146</c:v>
                </c:pt>
                <c:pt idx="5">
                  <c:v>125.59700000000001</c:v>
                </c:pt>
                <c:pt idx="6">
                  <c:v>123.75300000000001</c:v>
                </c:pt>
                <c:pt idx="7">
                  <c:v>122.831</c:v>
                </c:pt>
                <c:pt idx="8">
                  <c:v>125.02</c:v>
                </c:pt>
                <c:pt idx="9">
                  <c:v>136</c:v>
                </c:pt>
                <c:pt idx="10">
                  <c:v>119.05080000000001</c:v>
                </c:pt>
                <c:pt idx="11">
                  <c:v>118.221</c:v>
                </c:pt>
                <c:pt idx="12">
                  <c:v>109.95</c:v>
                </c:pt>
                <c:pt idx="13">
                  <c:v>110.29180000000001</c:v>
                </c:pt>
                <c:pt idx="14">
                  <c:v>104.64</c:v>
                </c:pt>
                <c:pt idx="15">
                  <c:v>118.38</c:v>
                </c:pt>
                <c:pt idx="16">
                  <c:v>102.9158</c:v>
                </c:pt>
                <c:pt idx="17">
                  <c:v>104.4</c:v>
                </c:pt>
                <c:pt idx="18">
                  <c:v>115.8</c:v>
                </c:pt>
                <c:pt idx="19">
                  <c:v>99.9</c:v>
                </c:pt>
                <c:pt idx="20">
                  <c:v>101.625</c:v>
                </c:pt>
                <c:pt idx="21">
                  <c:v>99.596599999999995</c:v>
                </c:pt>
                <c:pt idx="22">
                  <c:v>97.6</c:v>
                </c:pt>
                <c:pt idx="23">
                  <c:v>97.015000000000001</c:v>
                </c:pt>
                <c:pt idx="24">
                  <c:v>96.554000000000002</c:v>
                </c:pt>
                <c:pt idx="25">
                  <c:v>92.405000000000001</c:v>
                </c:pt>
                <c:pt idx="26">
                  <c:v>89.6</c:v>
                </c:pt>
                <c:pt idx="27">
                  <c:v>91.483000000000004</c:v>
                </c:pt>
                <c:pt idx="28">
                  <c:v>82</c:v>
                </c:pt>
                <c:pt idx="29">
                  <c:v>99.15</c:v>
                </c:pt>
                <c:pt idx="30">
                  <c:v>85.213400000000007</c:v>
                </c:pt>
                <c:pt idx="31">
                  <c:v>85.176519999999996</c:v>
                </c:pt>
                <c:pt idx="32">
                  <c:v>84.660200000000003</c:v>
                </c:pt>
                <c:pt idx="33">
                  <c:v>86.5</c:v>
                </c:pt>
                <c:pt idx="34">
                  <c:v>83.98</c:v>
                </c:pt>
                <c:pt idx="35">
                  <c:v>84.106999999999999</c:v>
                </c:pt>
                <c:pt idx="36">
                  <c:v>83.185000000000002</c:v>
                </c:pt>
                <c:pt idx="37">
                  <c:v>81.248800000000003</c:v>
                </c:pt>
                <c:pt idx="38">
                  <c:v>80.787800000000004</c:v>
                </c:pt>
                <c:pt idx="39">
                  <c:v>80.557300000000012</c:v>
                </c:pt>
                <c:pt idx="40">
                  <c:v>80.418999999999997</c:v>
                </c:pt>
                <c:pt idx="41">
                  <c:v>78.759399999999999</c:v>
                </c:pt>
                <c:pt idx="42">
                  <c:v>79.128199999999993</c:v>
                </c:pt>
                <c:pt idx="43">
                  <c:v>82.15</c:v>
                </c:pt>
                <c:pt idx="44">
                  <c:v>64.92</c:v>
                </c:pt>
                <c:pt idx="45">
                  <c:v>78.575000000000003</c:v>
                </c:pt>
                <c:pt idx="46">
                  <c:v>80.73</c:v>
                </c:pt>
              </c:numCache>
            </c:numRef>
          </c:xVal>
          <c:yVal>
            <c:numRef>
              <c:f>'Mega Yacht'!$F$118:$F$164</c:f>
              <c:numCache>
                <c:formatCode>General</c:formatCode>
                <c:ptCount val="47"/>
                <c:pt idx="1">
                  <c:v>5</c:v>
                </c:pt>
                <c:pt idx="2">
                  <c:v>5.2</c:v>
                </c:pt>
                <c:pt idx="3">
                  <c:v>4.9000000000000004</c:v>
                </c:pt>
                <c:pt idx="4">
                  <c:v>5.35</c:v>
                </c:pt>
                <c:pt idx="5">
                  <c:v>4.3</c:v>
                </c:pt>
                <c:pt idx="6">
                  <c:v>5</c:v>
                </c:pt>
                <c:pt idx="7">
                  <c:v>4.9000000000000004</c:v>
                </c:pt>
                <c:pt idx="8">
                  <c:v>6.01</c:v>
                </c:pt>
                <c:pt idx="9">
                  <c:v>6.1</c:v>
                </c:pt>
                <c:pt idx="10">
                  <c:v>5.5</c:v>
                </c:pt>
                <c:pt idx="11">
                  <c:v>4.9000000000000004</c:v>
                </c:pt>
                <c:pt idx="12">
                  <c:v>5.85</c:v>
                </c:pt>
                <c:pt idx="14">
                  <c:v>5.55</c:v>
                </c:pt>
                <c:pt idx="15">
                  <c:v>5.15</c:v>
                </c:pt>
                <c:pt idx="16">
                  <c:v>4.4000000000000004</c:v>
                </c:pt>
                <c:pt idx="17">
                  <c:v>4.3</c:v>
                </c:pt>
                <c:pt idx="18">
                  <c:v>4.3</c:v>
                </c:pt>
                <c:pt idx="19">
                  <c:v>4.6500000000000004</c:v>
                </c:pt>
                <c:pt idx="21">
                  <c:v>4.5999999999999996</c:v>
                </c:pt>
                <c:pt idx="22">
                  <c:v>4.4000000000000004</c:v>
                </c:pt>
                <c:pt idx="23">
                  <c:v>3.2</c:v>
                </c:pt>
                <c:pt idx="24">
                  <c:v>5.15</c:v>
                </c:pt>
                <c:pt idx="26">
                  <c:v>5.5</c:v>
                </c:pt>
                <c:pt idx="27">
                  <c:v>5</c:v>
                </c:pt>
                <c:pt idx="28">
                  <c:v>4.2</c:v>
                </c:pt>
                <c:pt idx="29">
                  <c:v>4.25</c:v>
                </c:pt>
                <c:pt idx="30">
                  <c:v>4.8</c:v>
                </c:pt>
                <c:pt idx="31">
                  <c:v>4.2</c:v>
                </c:pt>
                <c:pt idx="33">
                  <c:v>4.4000000000000004</c:v>
                </c:pt>
                <c:pt idx="34">
                  <c:v>4.4000000000000004</c:v>
                </c:pt>
                <c:pt idx="36">
                  <c:v>4.5</c:v>
                </c:pt>
                <c:pt idx="38">
                  <c:v>4.3</c:v>
                </c:pt>
                <c:pt idx="39">
                  <c:v>4.2</c:v>
                </c:pt>
                <c:pt idx="40">
                  <c:v>4.25</c:v>
                </c:pt>
                <c:pt idx="41">
                  <c:v>4.5</c:v>
                </c:pt>
                <c:pt idx="43">
                  <c:v>4.8499999999999996</c:v>
                </c:pt>
                <c:pt idx="44">
                  <c:v>4.9000000000000004</c:v>
                </c:pt>
                <c:pt idx="45">
                  <c:v>5.5</c:v>
                </c:pt>
                <c:pt idx="46">
                  <c:v>3.95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33-4B95-B3C4-F8633DBE30EB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76200">
                <a:solidFill>
                  <a:srgbClr val="FF0000"/>
                </a:solidFill>
              </a:ln>
              <a:effectLst/>
            </c:spPr>
          </c:marker>
          <c:xVal>
            <c:numRef>
              <c:f>'Mega Yacht'!$B$4</c:f>
              <c:numCache>
                <c:formatCode>General</c:formatCode>
                <c:ptCount val="1"/>
                <c:pt idx="0">
                  <c:v>80</c:v>
                </c:pt>
              </c:numCache>
            </c:numRef>
          </c:xVal>
          <c:yVal>
            <c:numRef>
              <c:f>'Mega Yacht'!$B$6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8733-4B95-B3C4-F8633DBE3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0562048"/>
        <c:axId val="700559424"/>
      </c:scatterChart>
      <c:valAx>
        <c:axId val="700562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Length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559424"/>
        <c:crosses val="autoZero"/>
        <c:crossBetween val="midCat"/>
      </c:valAx>
      <c:valAx>
        <c:axId val="70055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Draught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562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'Mega Yacht'!$D$118:$D$164</c:f>
              <c:numCache>
                <c:formatCode>General</c:formatCode>
                <c:ptCount val="47"/>
                <c:pt idx="0">
                  <c:v>145.42000000000002</c:v>
                </c:pt>
                <c:pt idx="1">
                  <c:v>144.959</c:v>
                </c:pt>
                <c:pt idx="2">
                  <c:v>138.505</c:v>
                </c:pt>
                <c:pt idx="3">
                  <c:v>131.43</c:v>
                </c:pt>
                <c:pt idx="4">
                  <c:v>146</c:v>
                </c:pt>
                <c:pt idx="5">
                  <c:v>125.59700000000001</c:v>
                </c:pt>
                <c:pt idx="6">
                  <c:v>123.75300000000001</c:v>
                </c:pt>
                <c:pt idx="7">
                  <c:v>122.831</c:v>
                </c:pt>
                <c:pt idx="8">
                  <c:v>125.02</c:v>
                </c:pt>
                <c:pt idx="9">
                  <c:v>136</c:v>
                </c:pt>
                <c:pt idx="10">
                  <c:v>119.05080000000001</c:v>
                </c:pt>
                <c:pt idx="11">
                  <c:v>118.221</c:v>
                </c:pt>
                <c:pt idx="12">
                  <c:v>109.95</c:v>
                </c:pt>
                <c:pt idx="13">
                  <c:v>110.29180000000001</c:v>
                </c:pt>
                <c:pt idx="14">
                  <c:v>104.64</c:v>
                </c:pt>
                <c:pt idx="15">
                  <c:v>118.38</c:v>
                </c:pt>
                <c:pt idx="16">
                  <c:v>102.9158</c:v>
                </c:pt>
                <c:pt idx="17">
                  <c:v>104.4</c:v>
                </c:pt>
                <c:pt idx="18">
                  <c:v>115.8</c:v>
                </c:pt>
                <c:pt idx="19">
                  <c:v>99.9</c:v>
                </c:pt>
                <c:pt idx="20">
                  <c:v>101.625</c:v>
                </c:pt>
                <c:pt idx="21">
                  <c:v>99.596599999999995</c:v>
                </c:pt>
                <c:pt idx="22">
                  <c:v>97.6</c:v>
                </c:pt>
                <c:pt idx="23">
                  <c:v>97.015000000000001</c:v>
                </c:pt>
                <c:pt idx="24">
                  <c:v>96.554000000000002</c:v>
                </c:pt>
                <c:pt idx="25">
                  <c:v>92.405000000000001</c:v>
                </c:pt>
                <c:pt idx="26">
                  <c:v>89.6</c:v>
                </c:pt>
                <c:pt idx="27">
                  <c:v>91.483000000000004</c:v>
                </c:pt>
                <c:pt idx="28">
                  <c:v>82</c:v>
                </c:pt>
                <c:pt idx="29">
                  <c:v>99.15</c:v>
                </c:pt>
                <c:pt idx="30">
                  <c:v>85.213400000000007</c:v>
                </c:pt>
                <c:pt idx="31">
                  <c:v>85.176519999999996</c:v>
                </c:pt>
                <c:pt idx="32">
                  <c:v>84.660200000000003</c:v>
                </c:pt>
                <c:pt idx="33">
                  <c:v>86.5</c:v>
                </c:pt>
                <c:pt idx="34">
                  <c:v>83.98</c:v>
                </c:pt>
                <c:pt idx="35">
                  <c:v>84.106999999999999</c:v>
                </c:pt>
                <c:pt idx="36">
                  <c:v>83.185000000000002</c:v>
                </c:pt>
                <c:pt idx="37">
                  <c:v>81.248800000000003</c:v>
                </c:pt>
                <c:pt idx="38">
                  <c:v>80.787800000000004</c:v>
                </c:pt>
                <c:pt idx="39">
                  <c:v>80.557300000000012</c:v>
                </c:pt>
                <c:pt idx="40">
                  <c:v>80.418999999999997</c:v>
                </c:pt>
                <c:pt idx="41">
                  <c:v>78.759399999999999</c:v>
                </c:pt>
                <c:pt idx="42">
                  <c:v>79.128199999999993</c:v>
                </c:pt>
                <c:pt idx="43">
                  <c:v>82.15</c:v>
                </c:pt>
                <c:pt idx="44">
                  <c:v>64.92</c:v>
                </c:pt>
                <c:pt idx="45">
                  <c:v>78.575000000000003</c:v>
                </c:pt>
                <c:pt idx="46">
                  <c:v>80.73</c:v>
                </c:pt>
              </c:numCache>
            </c:numRef>
          </c:xVal>
          <c:yVal>
            <c:numRef>
              <c:f>'Mega Yacht'!$G$118:$G$164</c:f>
              <c:numCache>
                <c:formatCode>General</c:formatCode>
                <c:ptCount val="47"/>
                <c:pt idx="2">
                  <c:v>15</c:v>
                </c:pt>
                <c:pt idx="3">
                  <c:v>18</c:v>
                </c:pt>
                <c:pt idx="5">
                  <c:v>23</c:v>
                </c:pt>
                <c:pt idx="7">
                  <c:v>26</c:v>
                </c:pt>
                <c:pt idx="8">
                  <c:v>19</c:v>
                </c:pt>
                <c:pt idx="9">
                  <c:v>16</c:v>
                </c:pt>
                <c:pt idx="12">
                  <c:v>17</c:v>
                </c:pt>
                <c:pt idx="14">
                  <c:v>16.5</c:v>
                </c:pt>
                <c:pt idx="15">
                  <c:v>19.5</c:v>
                </c:pt>
                <c:pt idx="16">
                  <c:v>14</c:v>
                </c:pt>
                <c:pt idx="19">
                  <c:v>18</c:v>
                </c:pt>
                <c:pt idx="21">
                  <c:v>15</c:v>
                </c:pt>
                <c:pt idx="22">
                  <c:v>16</c:v>
                </c:pt>
                <c:pt idx="23">
                  <c:v>18.2</c:v>
                </c:pt>
                <c:pt idx="24">
                  <c:v>8</c:v>
                </c:pt>
                <c:pt idx="25">
                  <c:v>14</c:v>
                </c:pt>
                <c:pt idx="28">
                  <c:v>21.6</c:v>
                </c:pt>
                <c:pt idx="29">
                  <c:v>19</c:v>
                </c:pt>
                <c:pt idx="33">
                  <c:v>17</c:v>
                </c:pt>
                <c:pt idx="34">
                  <c:v>16</c:v>
                </c:pt>
                <c:pt idx="36">
                  <c:v>18</c:v>
                </c:pt>
                <c:pt idx="39">
                  <c:v>21</c:v>
                </c:pt>
                <c:pt idx="43">
                  <c:v>16</c:v>
                </c:pt>
                <c:pt idx="44">
                  <c:v>13.5</c:v>
                </c:pt>
                <c:pt idx="46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78-4091-BF48-15B8817C6E90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76200">
                <a:solidFill>
                  <a:srgbClr val="FF0000"/>
                </a:solidFill>
              </a:ln>
              <a:effectLst/>
            </c:spPr>
          </c:marker>
          <c:xVal>
            <c:numRef>
              <c:f>'Mega Yacht'!$B$4</c:f>
              <c:numCache>
                <c:formatCode>General</c:formatCode>
                <c:ptCount val="1"/>
                <c:pt idx="0">
                  <c:v>80</c:v>
                </c:pt>
              </c:numCache>
            </c:numRef>
          </c:xVal>
          <c:yVal>
            <c:numRef>
              <c:f>'Mega Yacht'!$B$10</c:f>
              <c:numCache>
                <c:formatCode>General</c:formatCode>
                <c:ptCount val="1"/>
                <c:pt idx="0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678-4091-BF48-15B8817C6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0562048"/>
        <c:axId val="700559424"/>
      </c:scatterChart>
      <c:valAx>
        <c:axId val="700562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Length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559424"/>
        <c:crosses val="autoZero"/>
        <c:crossBetween val="midCat"/>
      </c:valAx>
      <c:valAx>
        <c:axId val="70055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 (Knot)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562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'Mega Yacht'!$D$118:$D$164</c:f>
              <c:numCache>
                <c:formatCode>General</c:formatCode>
                <c:ptCount val="47"/>
                <c:pt idx="0">
                  <c:v>145.42000000000002</c:v>
                </c:pt>
                <c:pt idx="1">
                  <c:v>144.959</c:v>
                </c:pt>
                <c:pt idx="2">
                  <c:v>138.505</c:v>
                </c:pt>
                <c:pt idx="3">
                  <c:v>131.43</c:v>
                </c:pt>
                <c:pt idx="4">
                  <c:v>146</c:v>
                </c:pt>
                <c:pt idx="5">
                  <c:v>125.59700000000001</c:v>
                </c:pt>
                <c:pt idx="6">
                  <c:v>123.75300000000001</c:v>
                </c:pt>
                <c:pt idx="7">
                  <c:v>122.831</c:v>
                </c:pt>
                <c:pt idx="8">
                  <c:v>125.02</c:v>
                </c:pt>
                <c:pt idx="9">
                  <c:v>136</c:v>
                </c:pt>
                <c:pt idx="10">
                  <c:v>119.05080000000001</c:v>
                </c:pt>
                <c:pt idx="11">
                  <c:v>118.221</c:v>
                </c:pt>
                <c:pt idx="12">
                  <c:v>109.95</c:v>
                </c:pt>
                <c:pt idx="13">
                  <c:v>110.29180000000001</c:v>
                </c:pt>
                <c:pt idx="14">
                  <c:v>104.64</c:v>
                </c:pt>
                <c:pt idx="15">
                  <c:v>118.38</c:v>
                </c:pt>
                <c:pt idx="16">
                  <c:v>102.9158</c:v>
                </c:pt>
                <c:pt idx="17">
                  <c:v>104.4</c:v>
                </c:pt>
                <c:pt idx="18">
                  <c:v>115.8</c:v>
                </c:pt>
                <c:pt idx="19">
                  <c:v>99.9</c:v>
                </c:pt>
                <c:pt idx="20">
                  <c:v>101.625</c:v>
                </c:pt>
                <c:pt idx="21">
                  <c:v>99.596599999999995</c:v>
                </c:pt>
                <c:pt idx="22">
                  <c:v>97.6</c:v>
                </c:pt>
                <c:pt idx="23">
                  <c:v>97.015000000000001</c:v>
                </c:pt>
                <c:pt idx="24">
                  <c:v>96.554000000000002</c:v>
                </c:pt>
                <c:pt idx="25">
                  <c:v>92.405000000000001</c:v>
                </c:pt>
                <c:pt idx="26">
                  <c:v>89.6</c:v>
                </c:pt>
                <c:pt idx="27">
                  <c:v>91.483000000000004</c:v>
                </c:pt>
                <c:pt idx="28">
                  <c:v>82</c:v>
                </c:pt>
                <c:pt idx="29">
                  <c:v>99.15</c:v>
                </c:pt>
                <c:pt idx="30">
                  <c:v>85.213400000000007</c:v>
                </c:pt>
                <c:pt idx="31">
                  <c:v>85.176519999999996</c:v>
                </c:pt>
                <c:pt idx="32">
                  <c:v>84.660200000000003</c:v>
                </c:pt>
                <c:pt idx="33">
                  <c:v>86.5</c:v>
                </c:pt>
                <c:pt idx="34">
                  <c:v>83.98</c:v>
                </c:pt>
                <c:pt idx="35">
                  <c:v>84.106999999999999</c:v>
                </c:pt>
                <c:pt idx="36">
                  <c:v>83.185000000000002</c:v>
                </c:pt>
                <c:pt idx="37">
                  <c:v>81.248800000000003</c:v>
                </c:pt>
                <c:pt idx="38">
                  <c:v>80.787800000000004</c:v>
                </c:pt>
                <c:pt idx="39">
                  <c:v>80.557300000000012</c:v>
                </c:pt>
                <c:pt idx="40">
                  <c:v>80.418999999999997</c:v>
                </c:pt>
                <c:pt idx="41">
                  <c:v>78.759399999999999</c:v>
                </c:pt>
                <c:pt idx="42">
                  <c:v>79.128199999999993</c:v>
                </c:pt>
                <c:pt idx="43">
                  <c:v>82.15</c:v>
                </c:pt>
                <c:pt idx="44">
                  <c:v>64.92</c:v>
                </c:pt>
                <c:pt idx="45">
                  <c:v>78.575000000000003</c:v>
                </c:pt>
                <c:pt idx="46">
                  <c:v>80.73</c:v>
                </c:pt>
              </c:numCache>
            </c:numRef>
          </c:xVal>
          <c:yVal>
            <c:numRef>
              <c:f>'Mega Yacht'!$E$118:$E$164</c:f>
              <c:numCache>
                <c:formatCode>General</c:formatCode>
                <c:ptCount val="47"/>
                <c:pt idx="1">
                  <c:v>22</c:v>
                </c:pt>
                <c:pt idx="2">
                  <c:v>24</c:v>
                </c:pt>
                <c:pt idx="3">
                  <c:v>18.3</c:v>
                </c:pt>
                <c:pt idx="4">
                  <c:v>13</c:v>
                </c:pt>
                <c:pt idx="5">
                  <c:v>15</c:v>
                </c:pt>
                <c:pt idx="6">
                  <c:v>23.5</c:v>
                </c:pt>
                <c:pt idx="7">
                  <c:v>19</c:v>
                </c:pt>
                <c:pt idx="8">
                  <c:v>21.04</c:v>
                </c:pt>
                <c:pt idx="9">
                  <c:v>16</c:v>
                </c:pt>
                <c:pt idx="10">
                  <c:v>18.5</c:v>
                </c:pt>
                <c:pt idx="11">
                  <c:v>20</c:v>
                </c:pt>
                <c:pt idx="12">
                  <c:v>21</c:v>
                </c:pt>
                <c:pt idx="13">
                  <c:v>19.5</c:v>
                </c:pt>
                <c:pt idx="14">
                  <c:v>16.899999999999999</c:v>
                </c:pt>
                <c:pt idx="15">
                  <c:v>18.850000000000001</c:v>
                </c:pt>
                <c:pt idx="16">
                  <c:v>17.2</c:v>
                </c:pt>
                <c:pt idx="17">
                  <c:v>14.4</c:v>
                </c:pt>
                <c:pt idx="18">
                  <c:v>14.4</c:v>
                </c:pt>
                <c:pt idx="19">
                  <c:v>17.2</c:v>
                </c:pt>
                <c:pt idx="20">
                  <c:v>18</c:v>
                </c:pt>
                <c:pt idx="21">
                  <c:v>17.7</c:v>
                </c:pt>
                <c:pt idx="22">
                  <c:v>16.3</c:v>
                </c:pt>
                <c:pt idx="23">
                  <c:v>16.3</c:v>
                </c:pt>
                <c:pt idx="24">
                  <c:v>14.95</c:v>
                </c:pt>
                <c:pt idx="25">
                  <c:v>14.33</c:v>
                </c:pt>
                <c:pt idx="26">
                  <c:v>18.5</c:v>
                </c:pt>
                <c:pt idx="27">
                  <c:v>16.2</c:v>
                </c:pt>
                <c:pt idx="28">
                  <c:v>12.84</c:v>
                </c:pt>
                <c:pt idx="29">
                  <c:v>11.1</c:v>
                </c:pt>
                <c:pt idx="30">
                  <c:v>16</c:v>
                </c:pt>
                <c:pt idx="31">
                  <c:v>14.25</c:v>
                </c:pt>
                <c:pt idx="33">
                  <c:v>12.4</c:v>
                </c:pt>
                <c:pt idx="34">
                  <c:v>16.22</c:v>
                </c:pt>
                <c:pt idx="36">
                  <c:v>15</c:v>
                </c:pt>
                <c:pt idx="37">
                  <c:v>13.5</c:v>
                </c:pt>
                <c:pt idx="38">
                  <c:v>14.95</c:v>
                </c:pt>
                <c:pt idx="39">
                  <c:v>12.8</c:v>
                </c:pt>
                <c:pt idx="40">
                  <c:v>15.9</c:v>
                </c:pt>
                <c:pt idx="41">
                  <c:v>12</c:v>
                </c:pt>
                <c:pt idx="43">
                  <c:v>15</c:v>
                </c:pt>
                <c:pt idx="44">
                  <c:v>12</c:v>
                </c:pt>
                <c:pt idx="45">
                  <c:v>12.2</c:v>
                </c:pt>
                <c:pt idx="46">
                  <c:v>14.44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80A-4669-846A-AAF0C33A0B79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76200">
                <a:solidFill>
                  <a:srgbClr val="FF0000"/>
                </a:solidFill>
              </a:ln>
              <a:effectLst/>
            </c:spPr>
          </c:marker>
          <c:xVal>
            <c:numRef>
              <c:f>'Mega Yacht'!$B$4</c:f>
              <c:numCache>
                <c:formatCode>General</c:formatCode>
                <c:ptCount val="1"/>
                <c:pt idx="0">
                  <c:v>80</c:v>
                </c:pt>
              </c:numCache>
            </c:numRef>
          </c:xVal>
          <c:yVal>
            <c:numRef>
              <c:f>'Mega Yacht'!$B$5</c:f>
              <c:numCache>
                <c:formatCode>General</c:formatCode>
                <c:ptCount val="1"/>
                <c:pt idx="0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80A-4669-846A-AAF0C33A0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0562048"/>
        <c:axId val="700559424"/>
      </c:scatterChart>
      <c:valAx>
        <c:axId val="700562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Length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559424"/>
        <c:crosses val="autoZero"/>
        <c:crossBetween val="midCat"/>
      </c:valAx>
      <c:valAx>
        <c:axId val="70055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Draught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562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Fn</c:v>
          </c:tx>
          <c:spPr>
            <a:solidFill>
              <a:schemeClr val="tx1"/>
            </a:solidFill>
            <a:ln w="28575">
              <a:noFill/>
            </a:ln>
          </c:spPr>
          <c:invertIfNegative val="0"/>
          <c:cat>
            <c:numRef>
              <c:f>[1]Sheet4!$A$166:$A$182</c:f>
              <c:numCache>
                <c:formatCode>General</c:formatCode>
                <c:ptCount val="17"/>
                <c:pt idx="0">
                  <c:v>0.12</c:v>
                </c:pt>
                <c:pt idx="1">
                  <c:v>0.15</c:v>
                </c:pt>
                <c:pt idx="2">
                  <c:v>0.18</c:v>
                </c:pt>
                <c:pt idx="3">
                  <c:v>0.21</c:v>
                </c:pt>
                <c:pt idx="4">
                  <c:v>0.22</c:v>
                </c:pt>
                <c:pt idx="5">
                  <c:v>0.23</c:v>
                </c:pt>
                <c:pt idx="6">
                  <c:v>0.24</c:v>
                </c:pt>
                <c:pt idx="7">
                  <c:v>0.25</c:v>
                </c:pt>
                <c:pt idx="8">
                  <c:v>0.26</c:v>
                </c:pt>
                <c:pt idx="9">
                  <c:v>0.27</c:v>
                </c:pt>
                <c:pt idx="10">
                  <c:v>0.28000000000000003</c:v>
                </c:pt>
                <c:pt idx="11">
                  <c:v>0.28999999999999998</c:v>
                </c:pt>
                <c:pt idx="12">
                  <c:v>0.3</c:v>
                </c:pt>
                <c:pt idx="13">
                  <c:v>0.31</c:v>
                </c:pt>
                <c:pt idx="14">
                  <c:v>0.32</c:v>
                </c:pt>
                <c:pt idx="15">
                  <c:v>0.35</c:v>
                </c:pt>
                <c:pt idx="16">
                  <c:v>0.36</c:v>
                </c:pt>
              </c:numCache>
            </c:numRef>
          </c:cat>
          <c:val>
            <c:numRef>
              <c:f>[1]Sheet4!$B$166:$B$182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9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3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7D-4316-BB39-22357988B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89120"/>
        <c:axId val="89990656"/>
      </c:barChart>
      <c:catAx>
        <c:axId val="8998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990656"/>
        <c:crosses val="autoZero"/>
        <c:auto val="1"/>
        <c:lblAlgn val="ctr"/>
        <c:lblOffset val="100"/>
        <c:noMultiLvlLbl val="0"/>
      </c:catAx>
      <c:valAx>
        <c:axId val="89990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989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Cb</c:v>
          </c:tx>
          <c:spPr>
            <a:solidFill>
              <a:schemeClr val="tx1"/>
            </a:solidFill>
            <a:ln w="28575">
              <a:noFill/>
            </a:ln>
          </c:spPr>
          <c:invertIfNegative val="0"/>
          <c:cat>
            <c:numRef>
              <c:f>[1]Sheet4!$A$186:$A$213</c:f>
              <c:numCache>
                <c:formatCode>General</c:formatCode>
                <c:ptCount val="28"/>
                <c:pt idx="0">
                  <c:v>0.36</c:v>
                </c:pt>
                <c:pt idx="1">
                  <c:v>0.37</c:v>
                </c:pt>
                <c:pt idx="2">
                  <c:v>0.4</c:v>
                </c:pt>
                <c:pt idx="3">
                  <c:v>0.46</c:v>
                </c:pt>
                <c:pt idx="4">
                  <c:v>0.47</c:v>
                </c:pt>
                <c:pt idx="5">
                  <c:v>0.48</c:v>
                </c:pt>
                <c:pt idx="6">
                  <c:v>0.5</c:v>
                </c:pt>
                <c:pt idx="7">
                  <c:v>0.51</c:v>
                </c:pt>
                <c:pt idx="8">
                  <c:v>0.52</c:v>
                </c:pt>
                <c:pt idx="9">
                  <c:v>0.53</c:v>
                </c:pt>
                <c:pt idx="10">
                  <c:v>0.54</c:v>
                </c:pt>
                <c:pt idx="11">
                  <c:v>0.55000000000000004</c:v>
                </c:pt>
                <c:pt idx="12">
                  <c:v>0.56000000000000005</c:v>
                </c:pt>
                <c:pt idx="13">
                  <c:v>0.56999999999999995</c:v>
                </c:pt>
                <c:pt idx="14">
                  <c:v>0.57999999999999996</c:v>
                </c:pt>
                <c:pt idx="15">
                  <c:v>0.59</c:v>
                </c:pt>
                <c:pt idx="16">
                  <c:v>0.6</c:v>
                </c:pt>
                <c:pt idx="17">
                  <c:v>0.61</c:v>
                </c:pt>
                <c:pt idx="18">
                  <c:v>0.62</c:v>
                </c:pt>
                <c:pt idx="19">
                  <c:v>0.64</c:v>
                </c:pt>
                <c:pt idx="20">
                  <c:v>0.65</c:v>
                </c:pt>
                <c:pt idx="21">
                  <c:v>0.66</c:v>
                </c:pt>
                <c:pt idx="22">
                  <c:v>0.67</c:v>
                </c:pt>
                <c:pt idx="23">
                  <c:v>0.68</c:v>
                </c:pt>
                <c:pt idx="24">
                  <c:v>0.69</c:v>
                </c:pt>
                <c:pt idx="25">
                  <c:v>0.7</c:v>
                </c:pt>
                <c:pt idx="26">
                  <c:v>0.71</c:v>
                </c:pt>
                <c:pt idx="27">
                  <c:v>0.74</c:v>
                </c:pt>
              </c:numCache>
            </c:numRef>
          </c:cat>
          <c:val>
            <c:numRef>
              <c:f>[1]Sheet4!$B$186:$B$213</c:f>
              <c:numCache>
                <c:formatCode>General</c:formatCode>
                <c:ptCount val="2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E5-44C9-A5F4-7251A17F6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023424"/>
        <c:axId val="90024960"/>
      </c:barChart>
      <c:catAx>
        <c:axId val="9002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024960"/>
        <c:crosses val="autoZero"/>
        <c:auto val="1"/>
        <c:lblAlgn val="ctr"/>
        <c:lblOffset val="100"/>
        <c:noMultiLvlLbl val="0"/>
      </c:catAx>
      <c:valAx>
        <c:axId val="90024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023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2"/>
            <c:spPr>
              <a:solidFill>
                <a:schemeClr val="tx1"/>
              </a:solidFill>
              <a:ln>
                <a:noFill/>
              </a:ln>
            </c:spPr>
          </c:marker>
          <c:trendline>
            <c:trendlineType val="power"/>
            <c:dispRSqr val="0"/>
            <c:dispEq val="0"/>
          </c:trendline>
          <c:xVal>
            <c:numRef>
              <c:f>'Ice Breaker'!$J$125:$J$216</c:f>
              <c:numCache>
                <c:formatCode>0.00</c:formatCode>
                <c:ptCount val="92"/>
                <c:pt idx="0">
                  <c:v>24.2</c:v>
                </c:pt>
                <c:pt idx="1">
                  <c:v>24.2</c:v>
                </c:pt>
                <c:pt idx="2">
                  <c:v>26</c:v>
                </c:pt>
                <c:pt idx="3">
                  <c:v>26</c:v>
                </c:pt>
                <c:pt idx="4">
                  <c:v>24</c:v>
                </c:pt>
                <c:pt idx="5">
                  <c:v>16</c:v>
                </c:pt>
                <c:pt idx="6">
                  <c:v>14.6</c:v>
                </c:pt>
                <c:pt idx="7">
                  <c:v>14.5</c:v>
                </c:pt>
                <c:pt idx="8">
                  <c:v>20.95</c:v>
                </c:pt>
                <c:pt idx="9">
                  <c:v>27.5</c:v>
                </c:pt>
                <c:pt idx="10">
                  <c:v>27.5</c:v>
                </c:pt>
                <c:pt idx="11">
                  <c:v>28</c:v>
                </c:pt>
                <c:pt idx="12">
                  <c:v>28.5</c:v>
                </c:pt>
                <c:pt idx="14">
                  <c:v>21.2</c:v>
                </c:pt>
                <c:pt idx="15">
                  <c:v>20.5</c:v>
                </c:pt>
                <c:pt idx="16" formatCode="General">
                  <c:v>17.7</c:v>
                </c:pt>
                <c:pt idx="17" formatCode="General">
                  <c:v>28.02</c:v>
                </c:pt>
                <c:pt idx="18" formatCode="General">
                  <c:v>17</c:v>
                </c:pt>
                <c:pt idx="19" formatCode="General">
                  <c:v>19</c:v>
                </c:pt>
                <c:pt idx="20" formatCode="General">
                  <c:v>19</c:v>
                </c:pt>
                <c:pt idx="21" formatCode="General">
                  <c:v>21.2</c:v>
                </c:pt>
                <c:pt idx="22" formatCode="General">
                  <c:v>19.2</c:v>
                </c:pt>
                <c:pt idx="23" formatCode="General">
                  <c:v>19.100000000000001</c:v>
                </c:pt>
                <c:pt idx="24" formatCode="General">
                  <c:v>18</c:v>
                </c:pt>
                <c:pt idx="25" formatCode="General">
                  <c:v>18</c:v>
                </c:pt>
                <c:pt idx="26" formatCode="General">
                  <c:v>18</c:v>
                </c:pt>
                <c:pt idx="27" formatCode="General">
                  <c:v>24.4</c:v>
                </c:pt>
                <c:pt idx="28" formatCode="General">
                  <c:v>23.1</c:v>
                </c:pt>
                <c:pt idx="29" formatCode="General">
                  <c:v>18.600000000000001</c:v>
                </c:pt>
                <c:pt idx="30" formatCode="General">
                  <c:v>30.5</c:v>
                </c:pt>
                <c:pt idx="31" formatCode="General">
                  <c:v>25.2</c:v>
                </c:pt>
                <c:pt idx="32" formatCode="General">
                  <c:v>25.2</c:v>
                </c:pt>
                <c:pt idx="33" formatCode="General">
                  <c:v>18.3</c:v>
                </c:pt>
                <c:pt idx="34" formatCode="General">
                  <c:v>18.899999999999999</c:v>
                </c:pt>
                <c:pt idx="35" formatCode="General">
                  <c:v>28.87</c:v>
                </c:pt>
                <c:pt idx="36" formatCode="General">
                  <c:v>20.3</c:v>
                </c:pt>
                <c:pt idx="37" formatCode="General">
                  <c:v>31.2</c:v>
                </c:pt>
                <c:pt idx="38" formatCode="General">
                  <c:v>23.5</c:v>
                </c:pt>
                <c:pt idx="39" formatCode="General">
                  <c:v>19.399999999999999</c:v>
                </c:pt>
                <c:pt idx="40" formatCode="General">
                  <c:v>23.4</c:v>
                </c:pt>
                <c:pt idx="41" formatCode="General">
                  <c:v>23.4</c:v>
                </c:pt>
                <c:pt idx="42" formatCode="General">
                  <c:v>14</c:v>
                </c:pt>
                <c:pt idx="43" formatCode="General">
                  <c:v>14.5</c:v>
                </c:pt>
                <c:pt idx="44" formatCode="General">
                  <c:v>20</c:v>
                </c:pt>
                <c:pt idx="45" formatCode="General">
                  <c:v>17.2</c:v>
                </c:pt>
                <c:pt idx="46" formatCode="General">
                  <c:v>17.2</c:v>
                </c:pt>
                <c:pt idx="47" formatCode="General">
                  <c:v>18</c:v>
                </c:pt>
                <c:pt idx="48" formatCode="General">
                  <c:v>19.2</c:v>
                </c:pt>
                <c:pt idx="49" formatCode="General">
                  <c:v>20</c:v>
                </c:pt>
                <c:pt idx="50" formatCode="General">
                  <c:v>16.600000000000001</c:v>
                </c:pt>
                <c:pt idx="51" formatCode="General">
                  <c:v>20</c:v>
                </c:pt>
                <c:pt idx="52" formatCode="General">
                  <c:v>24</c:v>
                </c:pt>
                <c:pt idx="53" formatCode="General">
                  <c:v>18</c:v>
                </c:pt>
                <c:pt idx="54" formatCode="General">
                  <c:v>27</c:v>
                </c:pt>
                <c:pt idx="55" formatCode="General">
                  <c:v>25.6</c:v>
                </c:pt>
                <c:pt idx="56" formatCode="General">
                  <c:v>12.2</c:v>
                </c:pt>
                <c:pt idx="57" formatCode="General">
                  <c:v>25.6</c:v>
                </c:pt>
                <c:pt idx="58" formatCode="General">
                  <c:v>15</c:v>
                </c:pt>
                <c:pt idx="59" formatCode="General">
                  <c:v>19.2</c:v>
                </c:pt>
                <c:pt idx="60" formatCode="General">
                  <c:v>17</c:v>
                </c:pt>
                <c:pt idx="61" formatCode="General">
                  <c:v>24.8</c:v>
                </c:pt>
                <c:pt idx="62" formatCode="General">
                  <c:v>25.6</c:v>
                </c:pt>
                <c:pt idx="63" formatCode="General">
                  <c:v>19.2</c:v>
                </c:pt>
                <c:pt idx="64" formatCode="General">
                  <c:v>15.6</c:v>
                </c:pt>
                <c:pt idx="65" formatCode="General">
                  <c:v>17.3</c:v>
                </c:pt>
                <c:pt idx="66" formatCode="General">
                  <c:v>18.100000000000001</c:v>
                </c:pt>
                <c:pt idx="67" formatCode="General">
                  <c:v>25.6</c:v>
                </c:pt>
                <c:pt idx="68" formatCode="General">
                  <c:v>23.8</c:v>
                </c:pt>
                <c:pt idx="69" formatCode="General">
                  <c:v>22.5</c:v>
                </c:pt>
                <c:pt idx="70" formatCode="General">
                  <c:v>25.6</c:v>
                </c:pt>
                <c:pt idx="71" formatCode="General">
                  <c:v>22.5</c:v>
                </c:pt>
                <c:pt idx="72" formatCode="General">
                  <c:v>25.6</c:v>
                </c:pt>
                <c:pt idx="73" formatCode="General">
                  <c:v>23.8</c:v>
                </c:pt>
                <c:pt idx="74" formatCode="General">
                  <c:v>17.5</c:v>
                </c:pt>
                <c:pt idx="75" formatCode="General">
                  <c:v>20.5</c:v>
                </c:pt>
                <c:pt idx="76" formatCode="General">
                  <c:v>17.5</c:v>
                </c:pt>
                <c:pt idx="77" formatCode="General">
                  <c:v>19.100000000000001</c:v>
                </c:pt>
                <c:pt idx="78" formatCode="General">
                  <c:v>23.8</c:v>
                </c:pt>
                <c:pt idx="79" formatCode="General">
                  <c:v>17</c:v>
                </c:pt>
                <c:pt idx="80" formatCode="General">
                  <c:v>17</c:v>
                </c:pt>
                <c:pt idx="81" formatCode="General">
                  <c:v>17.5</c:v>
                </c:pt>
                <c:pt idx="82" formatCode="General">
                  <c:v>17.5</c:v>
                </c:pt>
                <c:pt idx="83" formatCode="General">
                  <c:v>20.5</c:v>
                </c:pt>
                <c:pt idx="84" formatCode="General">
                  <c:v>21.2</c:v>
                </c:pt>
                <c:pt idx="85" formatCode="General">
                  <c:v>16.7</c:v>
                </c:pt>
                <c:pt idx="86" formatCode="General">
                  <c:v>18.7</c:v>
                </c:pt>
                <c:pt idx="87" formatCode="General">
                  <c:v>10</c:v>
                </c:pt>
                <c:pt idx="88" formatCode="General">
                  <c:v>16.399999999999999</c:v>
                </c:pt>
                <c:pt idx="89" formatCode="General">
                  <c:v>29</c:v>
                </c:pt>
                <c:pt idx="90" formatCode="General">
                  <c:v>25</c:v>
                </c:pt>
                <c:pt idx="91" formatCode="General">
                  <c:v>17.8</c:v>
                </c:pt>
              </c:numCache>
            </c:numRef>
          </c:xVal>
          <c:yVal>
            <c:numRef>
              <c:f>'Ice Breaker'!$H$125:$H$216</c:f>
              <c:numCache>
                <c:formatCode>0.00</c:formatCode>
                <c:ptCount val="92"/>
                <c:pt idx="0">
                  <c:v>99</c:v>
                </c:pt>
                <c:pt idx="1">
                  <c:v>99</c:v>
                </c:pt>
                <c:pt idx="2">
                  <c:v>116</c:v>
                </c:pt>
                <c:pt idx="3">
                  <c:v>116</c:v>
                </c:pt>
                <c:pt idx="4">
                  <c:v>110</c:v>
                </c:pt>
                <c:pt idx="5">
                  <c:v>71.5</c:v>
                </c:pt>
                <c:pt idx="6">
                  <c:v>45.1</c:v>
                </c:pt>
                <c:pt idx="7">
                  <c:v>71.400000000000006</c:v>
                </c:pt>
                <c:pt idx="8">
                  <c:v>93.94</c:v>
                </c:pt>
                <c:pt idx="9">
                  <c:v>114</c:v>
                </c:pt>
                <c:pt idx="10">
                  <c:v>119.8</c:v>
                </c:pt>
                <c:pt idx="11">
                  <c:v>159.6</c:v>
                </c:pt>
                <c:pt idx="12">
                  <c:v>146.80000000000001</c:v>
                </c:pt>
                <c:pt idx="14">
                  <c:v>99.9</c:v>
                </c:pt>
                <c:pt idx="15">
                  <c:v>76.400000000000006</c:v>
                </c:pt>
                <c:pt idx="16" formatCode="General">
                  <c:v>73.2</c:v>
                </c:pt>
                <c:pt idx="17" formatCode="General">
                  <c:v>103.68</c:v>
                </c:pt>
                <c:pt idx="18" formatCode="General">
                  <c:v>64.45</c:v>
                </c:pt>
                <c:pt idx="19" formatCode="General">
                  <c:v>84.4</c:v>
                </c:pt>
                <c:pt idx="20" formatCode="General">
                  <c:v>84.4</c:v>
                </c:pt>
                <c:pt idx="21" formatCode="General">
                  <c:v>93.5</c:v>
                </c:pt>
                <c:pt idx="22" formatCode="General">
                  <c:v>88.2</c:v>
                </c:pt>
                <c:pt idx="23" formatCode="General">
                  <c:v>89</c:v>
                </c:pt>
                <c:pt idx="24" formatCode="General">
                  <c:v>75.2</c:v>
                </c:pt>
                <c:pt idx="25" formatCode="General">
                  <c:v>75.2</c:v>
                </c:pt>
                <c:pt idx="26" formatCode="General">
                  <c:v>75.2</c:v>
                </c:pt>
                <c:pt idx="27" formatCode="General">
                  <c:v>120.9</c:v>
                </c:pt>
                <c:pt idx="28" formatCode="General">
                  <c:v>77.900000000000006</c:v>
                </c:pt>
                <c:pt idx="29" formatCode="General">
                  <c:v>78.900000000000006</c:v>
                </c:pt>
                <c:pt idx="30" formatCode="General">
                  <c:v>130.19999999999999</c:v>
                </c:pt>
                <c:pt idx="31" formatCode="General">
                  <c:v>96.7</c:v>
                </c:pt>
                <c:pt idx="32" formatCode="General">
                  <c:v>96.7</c:v>
                </c:pt>
                <c:pt idx="33" formatCode="General">
                  <c:v>85.3</c:v>
                </c:pt>
                <c:pt idx="34" formatCode="General">
                  <c:v>90</c:v>
                </c:pt>
                <c:pt idx="35" formatCode="General">
                  <c:v>136.32</c:v>
                </c:pt>
                <c:pt idx="36" formatCode="General">
                  <c:v>88.4</c:v>
                </c:pt>
                <c:pt idx="37" formatCode="General">
                  <c:v>100.2</c:v>
                </c:pt>
                <c:pt idx="38" formatCode="General">
                  <c:v>139</c:v>
                </c:pt>
                <c:pt idx="39" formatCode="General">
                  <c:v>94.1</c:v>
                </c:pt>
                <c:pt idx="40" formatCode="General">
                  <c:v>90</c:v>
                </c:pt>
                <c:pt idx="41" formatCode="General">
                  <c:v>90</c:v>
                </c:pt>
                <c:pt idx="42" formatCode="General">
                  <c:v>64.7</c:v>
                </c:pt>
                <c:pt idx="43" formatCode="General">
                  <c:v>60.9</c:v>
                </c:pt>
                <c:pt idx="44" formatCode="General">
                  <c:v>78.5</c:v>
                </c:pt>
                <c:pt idx="45" formatCode="General">
                  <c:v>80.599999999999994</c:v>
                </c:pt>
                <c:pt idx="46" formatCode="General">
                  <c:v>80.599999999999994</c:v>
                </c:pt>
                <c:pt idx="47" formatCode="General">
                  <c:v>73</c:v>
                </c:pt>
                <c:pt idx="48" formatCode="General">
                  <c:v>88.9</c:v>
                </c:pt>
                <c:pt idx="49" formatCode="General">
                  <c:v>78.5</c:v>
                </c:pt>
                <c:pt idx="50" formatCode="General">
                  <c:v>75.5</c:v>
                </c:pt>
                <c:pt idx="51" formatCode="General">
                  <c:v>95.52</c:v>
                </c:pt>
                <c:pt idx="52" formatCode="General">
                  <c:v>109.2</c:v>
                </c:pt>
                <c:pt idx="53" formatCode="General">
                  <c:v>74.3</c:v>
                </c:pt>
                <c:pt idx="54" formatCode="General">
                  <c:v>124</c:v>
                </c:pt>
                <c:pt idx="55" formatCode="General">
                  <c:v>121.3</c:v>
                </c:pt>
                <c:pt idx="56" formatCode="General">
                  <c:v>48.6</c:v>
                </c:pt>
                <c:pt idx="57" formatCode="General">
                  <c:v>121.3</c:v>
                </c:pt>
                <c:pt idx="58" formatCode="General">
                  <c:v>57.6</c:v>
                </c:pt>
                <c:pt idx="59" formatCode="General">
                  <c:v>88.9</c:v>
                </c:pt>
                <c:pt idx="60" formatCode="General">
                  <c:v>78.900000000000006</c:v>
                </c:pt>
                <c:pt idx="61" formatCode="General">
                  <c:v>113.4</c:v>
                </c:pt>
                <c:pt idx="62" formatCode="General">
                  <c:v>125.8</c:v>
                </c:pt>
                <c:pt idx="63" formatCode="General">
                  <c:v>88.9</c:v>
                </c:pt>
                <c:pt idx="64" formatCode="General">
                  <c:v>94</c:v>
                </c:pt>
                <c:pt idx="65" formatCode="General">
                  <c:v>84.2</c:v>
                </c:pt>
                <c:pt idx="66" formatCode="General">
                  <c:v>112</c:v>
                </c:pt>
                <c:pt idx="67" formatCode="General">
                  <c:v>130</c:v>
                </c:pt>
                <c:pt idx="68" formatCode="General">
                  <c:v>107.3</c:v>
                </c:pt>
                <c:pt idx="69" formatCode="General">
                  <c:v>96</c:v>
                </c:pt>
                <c:pt idx="70" formatCode="General">
                  <c:v>130</c:v>
                </c:pt>
                <c:pt idx="71" formatCode="General">
                  <c:v>96</c:v>
                </c:pt>
                <c:pt idx="72" formatCode="General">
                  <c:v>130</c:v>
                </c:pt>
                <c:pt idx="73" formatCode="General">
                  <c:v>107.3</c:v>
                </c:pt>
                <c:pt idx="74" formatCode="General">
                  <c:v>62</c:v>
                </c:pt>
                <c:pt idx="75" formatCode="General">
                  <c:v>79.5</c:v>
                </c:pt>
                <c:pt idx="76" formatCode="General">
                  <c:v>62</c:v>
                </c:pt>
                <c:pt idx="77" formatCode="General">
                  <c:v>89.2</c:v>
                </c:pt>
                <c:pt idx="78" formatCode="General">
                  <c:v>101.9</c:v>
                </c:pt>
                <c:pt idx="79" formatCode="General">
                  <c:v>68</c:v>
                </c:pt>
                <c:pt idx="80" formatCode="General">
                  <c:v>68</c:v>
                </c:pt>
                <c:pt idx="81" formatCode="General">
                  <c:v>62</c:v>
                </c:pt>
                <c:pt idx="82" formatCode="General">
                  <c:v>62</c:v>
                </c:pt>
                <c:pt idx="83" formatCode="General">
                  <c:v>79.5</c:v>
                </c:pt>
                <c:pt idx="84" formatCode="General">
                  <c:v>82</c:v>
                </c:pt>
                <c:pt idx="85" formatCode="General">
                  <c:v>68.3</c:v>
                </c:pt>
                <c:pt idx="86" formatCode="General">
                  <c:v>83.5</c:v>
                </c:pt>
                <c:pt idx="87" formatCode="General">
                  <c:v>42.3</c:v>
                </c:pt>
                <c:pt idx="88" formatCode="General">
                  <c:v>65.099999999999994</c:v>
                </c:pt>
                <c:pt idx="89" formatCode="General">
                  <c:v>146.80000000000001</c:v>
                </c:pt>
                <c:pt idx="90" formatCode="General">
                  <c:v>121.7</c:v>
                </c:pt>
                <c:pt idx="91" formatCode="General">
                  <c:v>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005-4A03-9840-53FB26AC041B}"/>
            </c:ext>
          </c:extLst>
        </c:ser>
        <c:ser>
          <c:idx val="1"/>
          <c:order val="1"/>
          <c:spPr>
            <a:ln w="19050">
              <a:noFill/>
            </a:ln>
          </c:spPr>
          <c:xVal>
            <c:numRef>
              <c:f>'Ice Breaker'!$B$3</c:f>
              <c:numCache>
                <c:formatCode>General</c:formatCode>
                <c:ptCount val="1"/>
                <c:pt idx="0">
                  <c:v>20</c:v>
                </c:pt>
              </c:numCache>
            </c:numRef>
          </c:xVal>
          <c:yVal>
            <c:numRef>
              <c:f>'Ice Breaker'!$B$2</c:f>
              <c:numCache>
                <c:formatCode>General</c:formatCode>
                <c:ptCount val="1"/>
                <c:pt idx="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005-4A03-9840-53FB26AC0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768832"/>
        <c:axId val="81770752"/>
      </c:scatterChart>
      <c:valAx>
        <c:axId val="81768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B (m)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81770752"/>
        <c:crosses val="autoZero"/>
        <c:crossBetween val="midCat"/>
      </c:valAx>
      <c:valAx>
        <c:axId val="81770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 baseline="0"/>
                  <a:t>L (m)</a:t>
                </a:r>
                <a:endParaRPr lang="fi-FI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817688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2"/>
            <c:spPr>
              <a:solidFill>
                <a:schemeClr val="tx1"/>
              </a:solidFill>
              <a:ln>
                <a:noFill/>
              </a:ln>
            </c:spPr>
          </c:marker>
          <c:trendline>
            <c:trendlineType val="power"/>
            <c:dispRSqr val="0"/>
            <c:dispEq val="0"/>
          </c:trendline>
          <c:xVal>
            <c:numRef>
              <c:f>'Ice Breaker'!$J$125:$J$216</c:f>
              <c:numCache>
                <c:formatCode>0.00</c:formatCode>
                <c:ptCount val="92"/>
                <c:pt idx="0">
                  <c:v>24.2</c:v>
                </c:pt>
                <c:pt idx="1">
                  <c:v>24.2</c:v>
                </c:pt>
                <c:pt idx="2">
                  <c:v>26</c:v>
                </c:pt>
                <c:pt idx="3">
                  <c:v>26</c:v>
                </c:pt>
                <c:pt idx="4">
                  <c:v>24</c:v>
                </c:pt>
                <c:pt idx="5">
                  <c:v>16</c:v>
                </c:pt>
                <c:pt idx="6">
                  <c:v>14.6</c:v>
                </c:pt>
                <c:pt idx="7">
                  <c:v>14.5</c:v>
                </c:pt>
                <c:pt idx="8">
                  <c:v>20.95</c:v>
                </c:pt>
                <c:pt idx="9">
                  <c:v>27.5</c:v>
                </c:pt>
                <c:pt idx="10">
                  <c:v>27.5</c:v>
                </c:pt>
                <c:pt idx="11">
                  <c:v>28</c:v>
                </c:pt>
                <c:pt idx="12">
                  <c:v>28.5</c:v>
                </c:pt>
                <c:pt idx="14">
                  <c:v>21.2</c:v>
                </c:pt>
                <c:pt idx="15">
                  <c:v>20.5</c:v>
                </c:pt>
                <c:pt idx="16" formatCode="General">
                  <c:v>17.7</c:v>
                </c:pt>
                <c:pt idx="17" formatCode="General">
                  <c:v>28.02</c:v>
                </c:pt>
                <c:pt idx="18" formatCode="General">
                  <c:v>17</c:v>
                </c:pt>
                <c:pt idx="19" formatCode="General">
                  <c:v>19</c:v>
                </c:pt>
                <c:pt idx="20" formatCode="General">
                  <c:v>19</c:v>
                </c:pt>
                <c:pt idx="21" formatCode="General">
                  <c:v>21.2</c:v>
                </c:pt>
                <c:pt idx="22" formatCode="General">
                  <c:v>19.2</c:v>
                </c:pt>
                <c:pt idx="23" formatCode="General">
                  <c:v>19.100000000000001</c:v>
                </c:pt>
                <c:pt idx="24" formatCode="General">
                  <c:v>18</c:v>
                </c:pt>
                <c:pt idx="25" formatCode="General">
                  <c:v>18</c:v>
                </c:pt>
                <c:pt idx="26" formatCode="General">
                  <c:v>18</c:v>
                </c:pt>
                <c:pt idx="27" formatCode="General">
                  <c:v>24.4</c:v>
                </c:pt>
                <c:pt idx="28" formatCode="General">
                  <c:v>23.1</c:v>
                </c:pt>
                <c:pt idx="29" formatCode="General">
                  <c:v>18.600000000000001</c:v>
                </c:pt>
                <c:pt idx="30" formatCode="General">
                  <c:v>30.5</c:v>
                </c:pt>
                <c:pt idx="31" formatCode="General">
                  <c:v>25.2</c:v>
                </c:pt>
                <c:pt idx="32" formatCode="General">
                  <c:v>25.2</c:v>
                </c:pt>
                <c:pt idx="33" formatCode="General">
                  <c:v>18.3</c:v>
                </c:pt>
                <c:pt idx="34" formatCode="General">
                  <c:v>18.899999999999999</c:v>
                </c:pt>
                <c:pt idx="35" formatCode="General">
                  <c:v>28.87</c:v>
                </c:pt>
                <c:pt idx="36" formatCode="General">
                  <c:v>20.3</c:v>
                </c:pt>
                <c:pt idx="37" formatCode="General">
                  <c:v>31.2</c:v>
                </c:pt>
                <c:pt idx="38" formatCode="General">
                  <c:v>23.5</c:v>
                </c:pt>
                <c:pt idx="39" formatCode="General">
                  <c:v>19.399999999999999</c:v>
                </c:pt>
                <c:pt idx="40" formatCode="General">
                  <c:v>23.4</c:v>
                </c:pt>
                <c:pt idx="41" formatCode="General">
                  <c:v>23.4</c:v>
                </c:pt>
                <c:pt idx="42" formatCode="General">
                  <c:v>14</c:v>
                </c:pt>
                <c:pt idx="43" formatCode="General">
                  <c:v>14.5</c:v>
                </c:pt>
                <c:pt idx="44" formatCode="General">
                  <c:v>20</c:v>
                </c:pt>
                <c:pt idx="45" formatCode="General">
                  <c:v>17.2</c:v>
                </c:pt>
                <c:pt idx="46" formatCode="General">
                  <c:v>17.2</c:v>
                </c:pt>
                <c:pt idx="47" formatCode="General">
                  <c:v>18</c:v>
                </c:pt>
                <c:pt idx="48" formatCode="General">
                  <c:v>19.2</c:v>
                </c:pt>
                <c:pt idx="49" formatCode="General">
                  <c:v>20</c:v>
                </c:pt>
                <c:pt idx="50" formatCode="General">
                  <c:v>16.600000000000001</c:v>
                </c:pt>
                <c:pt idx="51" formatCode="General">
                  <c:v>20</c:v>
                </c:pt>
                <c:pt idx="52" formatCode="General">
                  <c:v>24</c:v>
                </c:pt>
                <c:pt idx="53" formatCode="General">
                  <c:v>18</c:v>
                </c:pt>
                <c:pt idx="54" formatCode="General">
                  <c:v>27</c:v>
                </c:pt>
                <c:pt idx="55" formatCode="General">
                  <c:v>25.6</c:v>
                </c:pt>
                <c:pt idx="56" formatCode="General">
                  <c:v>12.2</c:v>
                </c:pt>
                <c:pt idx="57" formatCode="General">
                  <c:v>25.6</c:v>
                </c:pt>
                <c:pt idx="58" formatCode="General">
                  <c:v>15</c:v>
                </c:pt>
                <c:pt idx="59" formatCode="General">
                  <c:v>19.2</c:v>
                </c:pt>
                <c:pt idx="60" formatCode="General">
                  <c:v>17</c:v>
                </c:pt>
                <c:pt idx="61" formatCode="General">
                  <c:v>24.8</c:v>
                </c:pt>
                <c:pt idx="62" formatCode="General">
                  <c:v>25.6</c:v>
                </c:pt>
                <c:pt idx="63" formatCode="General">
                  <c:v>19.2</c:v>
                </c:pt>
                <c:pt idx="64" formatCode="General">
                  <c:v>15.6</c:v>
                </c:pt>
                <c:pt idx="65" formatCode="General">
                  <c:v>17.3</c:v>
                </c:pt>
                <c:pt idx="66" formatCode="General">
                  <c:v>18.100000000000001</c:v>
                </c:pt>
                <c:pt idx="67" formatCode="General">
                  <c:v>25.6</c:v>
                </c:pt>
                <c:pt idx="68" formatCode="General">
                  <c:v>23.8</c:v>
                </c:pt>
                <c:pt idx="69" formatCode="General">
                  <c:v>22.5</c:v>
                </c:pt>
                <c:pt idx="70" formatCode="General">
                  <c:v>25.6</c:v>
                </c:pt>
                <c:pt idx="71" formatCode="General">
                  <c:v>22.5</c:v>
                </c:pt>
                <c:pt idx="72" formatCode="General">
                  <c:v>25.6</c:v>
                </c:pt>
                <c:pt idx="73" formatCode="General">
                  <c:v>23.8</c:v>
                </c:pt>
                <c:pt idx="74" formatCode="General">
                  <c:v>17.5</c:v>
                </c:pt>
                <c:pt idx="75" formatCode="General">
                  <c:v>20.5</c:v>
                </c:pt>
                <c:pt idx="76" formatCode="General">
                  <c:v>17.5</c:v>
                </c:pt>
                <c:pt idx="77" formatCode="General">
                  <c:v>19.100000000000001</c:v>
                </c:pt>
                <c:pt idx="78" formatCode="General">
                  <c:v>23.8</c:v>
                </c:pt>
                <c:pt idx="79" formatCode="General">
                  <c:v>17</c:v>
                </c:pt>
                <c:pt idx="80" formatCode="General">
                  <c:v>17</c:v>
                </c:pt>
                <c:pt idx="81" formatCode="General">
                  <c:v>17.5</c:v>
                </c:pt>
                <c:pt idx="82" formatCode="General">
                  <c:v>17.5</c:v>
                </c:pt>
                <c:pt idx="83" formatCode="General">
                  <c:v>20.5</c:v>
                </c:pt>
                <c:pt idx="84" formatCode="General">
                  <c:v>21.2</c:v>
                </c:pt>
                <c:pt idx="85" formatCode="General">
                  <c:v>16.7</c:v>
                </c:pt>
                <c:pt idx="86" formatCode="General">
                  <c:v>18.7</c:v>
                </c:pt>
                <c:pt idx="87" formatCode="General">
                  <c:v>10</c:v>
                </c:pt>
                <c:pt idx="88" formatCode="General">
                  <c:v>16.399999999999999</c:v>
                </c:pt>
                <c:pt idx="89" formatCode="General">
                  <c:v>29</c:v>
                </c:pt>
                <c:pt idx="90" formatCode="General">
                  <c:v>25</c:v>
                </c:pt>
                <c:pt idx="91" formatCode="General">
                  <c:v>17.8</c:v>
                </c:pt>
              </c:numCache>
            </c:numRef>
          </c:xVal>
          <c:yVal>
            <c:numRef>
              <c:f>'Ice Breaker'!$K$125:$K$216</c:f>
              <c:numCache>
                <c:formatCode>0.00</c:formatCode>
                <c:ptCount val="92"/>
                <c:pt idx="0">
                  <c:v>8</c:v>
                </c:pt>
                <c:pt idx="1">
                  <c:v>8</c:v>
                </c:pt>
                <c:pt idx="2">
                  <c:v>8.4</c:v>
                </c:pt>
                <c:pt idx="3">
                  <c:v>8.4</c:v>
                </c:pt>
                <c:pt idx="4">
                  <c:v>8</c:v>
                </c:pt>
                <c:pt idx="5">
                  <c:v>6.3</c:v>
                </c:pt>
                <c:pt idx="6">
                  <c:v>6.8</c:v>
                </c:pt>
                <c:pt idx="7">
                  <c:v>5</c:v>
                </c:pt>
                <c:pt idx="8">
                  <c:v>7.5</c:v>
                </c:pt>
                <c:pt idx="9">
                  <c:v>8.5</c:v>
                </c:pt>
                <c:pt idx="10">
                  <c:v>8.5</c:v>
                </c:pt>
                <c:pt idx="11">
                  <c:v>11</c:v>
                </c:pt>
                <c:pt idx="12">
                  <c:v>9.6999999999999993</c:v>
                </c:pt>
                <c:pt idx="14">
                  <c:v>7.9</c:v>
                </c:pt>
                <c:pt idx="15">
                  <c:v>6.3</c:v>
                </c:pt>
                <c:pt idx="16" formatCode="General">
                  <c:v>4.9000000000000004</c:v>
                </c:pt>
                <c:pt idx="17" formatCode="General">
                  <c:v>8.5</c:v>
                </c:pt>
                <c:pt idx="18" formatCode="General">
                  <c:v>6.5</c:v>
                </c:pt>
                <c:pt idx="19" formatCode="General">
                  <c:v>8</c:v>
                </c:pt>
                <c:pt idx="20" formatCode="General">
                  <c:v>8</c:v>
                </c:pt>
                <c:pt idx="21" formatCode="General">
                  <c:v>7.5</c:v>
                </c:pt>
                <c:pt idx="22" formatCode="General">
                  <c:v>6.5</c:v>
                </c:pt>
                <c:pt idx="23" formatCode="General">
                  <c:v>6.5</c:v>
                </c:pt>
                <c:pt idx="24" formatCode="General">
                  <c:v>7.2</c:v>
                </c:pt>
                <c:pt idx="25" formatCode="General">
                  <c:v>7.2</c:v>
                </c:pt>
                <c:pt idx="26" formatCode="General">
                  <c:v>7.2</c:v>
                </c:pt>
                <c:pt idx="27" formatCode="General">
                  <c:v>8.5</c:v>
                </c:pt>
                <c:pt idx="28" formatCode="General">
                  <c:v>7.2</c:v>
                </c:pt>
                <c:pt idx="29" formatCode="General">
                  <c:v>5.8</c:v>
                </c:pt>
                <c:pt idx="30" formatCode="General">
                  <c:v>8.5</c:v>
                </c:pt>
                <c:pt idx="31" formatCode="General">
                  <c:v>8.4</c:v>
                </c:pt>
                <c:pt idx="32" formatCode="General">
                  <c:v>8.4</c:v>
                </c:pt>
                <c:pt idx="33" formatCode="General">
                  <c:v>6.8</c:v>
                </c:pt>
                <c:pt idx="34" formatCode="General">
                  <c:v>6.4</c:v>
                </c:pt>
                <c:pt idx="35" formatCode="General">
                  <c:v>9</c:v>
                </c:pt>
                <c:pt idx="36" formatCode="General">
                  <c:v>7.9</c:v>
                </c:pt>
                <c:pt idx="37" formatCode="General">
                  <c:v>8.5</c:v>
                </c:pt>
                <c:pt idx="38" formatCode="General">
                  <c:v>8.5</c:v>
                </c:pt>
                <c:pt idx="39" formatCode="General">
                  <c:v>7.2</c:v>
                </c:pt>
                <c:pt idx="40" formatCode="General">
                  <c:v>7.3</c:v>
                </c:pt>
                <c:pt idx="41" formatCode="General">
                  <c:v>7.3</c:v>
                </c:pt>
                <c:pt idx="42" formatCode="General">
                  <c:v>5.8</c:v>
                </c:pt>
                <c:pt idx="43" formatCode="General">
                  <c:v>5.9</c:v>
                </c:pt>
                <c:pt idx="44" formatCode="General">
                  <c:v>6</c:v>
                </c:pt>
                <c:pt idx="45" formatCode="General">
                  <c:v>8.3000000000000007</c:v>
                </c:pt>
                <c:pt idx="46" formatCode="General">
                  <c:v>8</c:v>
                </c:pt>
                <c:pt idx="47" formatCode="General">
                  <c:v>7.5</c:v>
                </c:pt>
                <c:pt idx="48" formatCode="General">
                  <c:v>7.2</c:v>
                </c:pt>
                <c:pt idx="49" formatCode="General">
                  <c:v>6</c:v>
                </c:pt>
                <c:pt idx="50" formatCode="General">
                  <c:v>7.5</c:v>
                </c:pt>
                <c:pt idx="51" formatCode="General">
                  <c:v>6</c:v>
                </c:pt>
                <c:pt idx="52" formatCode="General">
                  <c:v>11.2</c:v>
                </c:pt>
                <c:pt idx="53" formatCode="General">
                  <c:v>5</c:v>
                </c:pt>
                <c:pt idx="54" formatCode="General">
                  <c:v>9.1999999999999993</c:v>
                </c:pt>
                <c:pt idx="55" formatCode="General">
                  <c:v>8.5</c:v>
                </c:pt>
                <c:pt idx="56" formatCode="General">
                  <c:v>3.8</c:v>
                </c:pt>
                <c:pt idx="57" formatCode="General">
                  <c:v>8.5</c:v>
                </c:pt>
                <c:pt idx="58" formatCode="General">
                  <c:v>6</c:v>
                </c:pt>
                <c:pt idx="59" formatCode="General">
                  <c:v>7.2</c:v>
                </c:pt>
                <c:pt idx="60" formatCode="General">
                  <c:v>8.5350000000000001</c:v>
                </c:pt>
                <c:pt idx="61" formatCode="General">
                  <c:v>9.5</c:v>
                </c:pt>
                <c:pt idx="62" formatCode="General">
                  <c:v>8.5</c:v>
                </c:pt>
                <c:pt idx="63" formatCode="General">
                  <c:v>7.2</c:v>
                </c:pt>
                <c:pt idx="64" formatCode="General">
                  <c:v>5.5</c:v>
                </c:pt>
                <c:pt idx="65" formatCode="General">
                  <c:v>8.4</c:v>
                </c:pt>
                <c:pt idx="66" formatCode="General">
                  <c:v>6.05</c:v>
                </c:pt>
                <c:pt idx="67" formatCode="General">
                  <c:v>11</c:v>
                </c:pt>
                <c:pt idx="68" formatCode="General">
                  <c:v>8.5</c:v>
                </c:pt>
                <c:pt idx="69" formatCode="General">
                  <c:v>7.3</c:v>
                </c:pt>
                <c:pt idx="70" formatCode="General">
                  <c:v>11</c:v>
                </c:pt>
                <c:pt idx="71" formatCode="General">
                  <c:v>7.3</c:v>
                </c:pt>
                <c:pt idx="72" formatCode="General">
                  <c:v>11</c:v>
                </c:pt>
                <c:pt idx="73" formatCode="General">
                  <c:v>8.5</c:v>
                </c:pt>
                <c:pt idx="74" formatCode="General">
                  <c:v>6.2</c:v>
                </c:pt>
                <c:pt idx="75" formatCode="General">
                  <c:v>6.2</c:v>
                </c:pt>
                <c:pt idx="76" formatCode="General">
                  <c:v>6.2</c:v>
                </c:pt>
                <c:pt idx="77" formatCode="General">
                  <c:v>6.3</c:v>
                </c:pt>
                <c:pt idx="78" formatCode="General">
                  <c:v>9.9</c:v>
                </c:pt>
                <c:pt idx="79" formatCode="General">
                  <c:v>6</c:v>
                </c:pt>
                <c:pt idx="80" formatCode="General">
                  <c:v>6</c:v>
                </c:pt>
                <c:pt idx="81" formatCode="General">
                  <c:v>6.2</c:v>
                </c:pt>
                <c:pt idx="82" formatCode="General">
                  <c:v>6.2</c:v>
                </c:pt>
                <c:pt idx="83" formatCode="General">
                  <c:v>6.2</c:v>
                </c:pt>
                <c:pt idx="84" formatCode="General">
                  <c:v>7.4</c:v>
                </c:pt>
                <c:pt idx="85" formatCode="General">
                  <c:v>5.8</c:v>
                </c:pt>
                <c:pt idx="86" formatCode="General">
                  <c:v>7</c:v>
                </c:pt>
                <c:pt idx="87" formatCode="General">
                  <c:v>1.57</c:v>
                </c:pt>
                <c:pt idx="88" formatCode="General">
                  <c:v>2.9</c:v>
                </c:pt>
                <c:pt idx="89" formatCode="General">
                  <c:v>8.5</c:v>
                </c:pt>
                <c:pt idx="90" formatCode="General">
                  <c:v>8</c:v>
                </c:pt>
                <c:pt idx="91" formatCode="General">
                  <c:v>4.9000000000000004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61E-4B6C-BAE1-509847E1B149}"/>
            </c:ext>
          </c:extLst>
        </c:ser>
        <c:ser>
          <c:idx val="1"/>
          <c:order val="1"/>
          <c:spPr>
            <a:ln w="19050">
              <a:noFill/>
            </a:ln>
          </c:spPr>
          <c:xVal>
            <c:numRef>
              <c:f>'Ice Breaker'!$B$3</c:f>
              <c:numCache>
                <c:formatCode>General</c:formatCode>
                <c:ptCount val="1"/>
                <c:pt idx="0">
                  <c:v>20</c:v>
                </c:pt>
              </c:numCache>
            </c:numRef>
          </c:xVal>
          <c:yVal>
            <c:numRef>
              <c:f>'Ice Breaker'!$B$4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61E-4B6C-BAE1-509847E1B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403712"/>
        <c:axId val="82405632"/>
      </c:scatterChart>
      <c:valAx>
        <c:axId val="8240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B</a:t>
                </a:r>
                <a:r>
                  <a:rPr lang="fi-FI" baseline="0"/>
                  <a:t> (m)</a:t>
                </a:r>
                <a:endParaRPr lang="fi-FI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82405632"/>
        <c:crosses val="autoZero"/>
        <c:crossBetween val="midCat"/>
      </c:valAx>
      <c:valAx>
        <c:axId val="82405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T (m)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824037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2"/>
            <c:spPr>
              <a:solidFill>
                <a:schemeClr val="tx1"/>
              </a:solidFill>
              <a:ln>
                <a:noFill/>
              </a:ln>
            </c:spPr>
          </c:marker>
          <c:trendline>
            <c:trendlineType val="exp"/>
            <c:dispRSqr val="0"/>
            <c:dispEq val="0"/>
          </c:trendline>
          <c:xVal>
            <c:numRef>
              <c:f>'Ice Breaker'!$H$125:$H$211</c:f>
              <c:numCache>
                <c:formatCode>0.00</c:formatCode>
                <c:ptCount val="87"/>
                <c:pt idx="0">
                  <c:v>99</c:v>
                </c:pt>
                <c:pt idx="1">
                  <c:v>99</c:v>
                </c:pt>
                <c:pt idx="2">
                  <c:v>116</c:v>
                </c:pt>
                <c:pt idx="3">
                  <c:v>116</c:v>
                </c:pt>
                <c:pt idx="4">
                  <c:v>110</c:v>
                </c:pt>
                <c:pt idx="5">
                  <c:v>71.5</c:v>
                </c:pt>
                <c:pt idx="6">
                  <c:v>45.1</c:v>
                </c:pt>
                <c:pt idx="7">
                  <c:v>71.400000000000006</c:v>
                </c:pt>
                <c:pt idx="8">
                  <c:v>93.94</c:v>
                </c:pt>
                <c:pt idx="9">
                  <c:v>114</c:v>
                </c:pt>
                <c:pt idx="10">
                  <c:v>119.8</c:v>
                </c:pt>
                <c:pt idx="11">
                  <c:v>159.6</c:v>
                </c:pt>
                <c:pt idx="12">
                  <c:v>146.80000000000001</c:v>
                </c:pt>
                <c:pt idx="14">
                  <c:v>99.9</c:v>
                </c:pt>
                <c:pt idx="15">
                  <c:v>76.400000000000006</c:v>
                </c:pt>
                <c:pt idx="16" formatCode="General">
                  <c:v>73.2</c:v>
                </c:pt>
                <c:pt idx="17" formatCode="General">
                  <c:v>103.68</c:v>
                </c:pt>
                <c:pt idx="18" formatCode="General">
                  <c:v>64.45</c:v>
                </c:pt>
                <c:pt idx="19" formatCode="General">
                  <c:v>84.4</c:v>
                </c:pt>
                <c:pt idx="20" formatCode="General">
                  <c:v>84.4</c:v>
                </c:pt>
                <c:pt idx="21" formatCode="General">
                  <c:v>93.5</c:v>
                </c:pt>
                <c:pt idx="22" formatCode="General">
                  <c:v>88.2</c:v>
                </c:pt>
                <c:pt idx="23" formatCode="General">
                  <c:v>89</c:v>
                </c:pt>
                <c:pt idx="24" formatCode="General">
                  <c:v>75.2</c:v>
                </c:pt>
                <c:pt idx="25" formatCode="General">
                  <c:v>75.2</c:v>
                </c:pt>
                <c:pt idx="26" formatCode="General">
                  <c:v>75.2</c:v>
                </c:pt>
                <c:pt idx="27" formatCode="General">
                  <c:v>120.9</c:v>
                </c:pt>
                <c:pt idx="28" formatCode="General">
                  <c:v>77.900000000000006</c:v>
                </c:pt>
                <c:pt idx="29" formatCode="General">
                  <c:v>78.900000000000006</c:v>
                </c:pt>
                <c:pt idx="30" formatCode="General">
                  <c:v>130.19999999999999</c:v>
                </c:pt>
                <c:pt idx="31" formatCode="General">
                  <c:v>96.7</c:v>
                </c:pt>
                <c:pt idx="32" formatCode="General">
                  <c:v>96.7</c:v>
                </c:pt>
                <c:pt idx="33" formatCode="General">
                  <c:v>85.3</c:v>
                </c:pt>
                <c:pt idx="34" formatCode="General">
                  <c:v>90</c:v>
                </c:pt>
                <c:pt idx="35" formatCode="General">
                  <c:v>136.32</c:v>
                </c:pt>
                <c:pt idx="36" formatCode="General">
                  <c:v>88.4</c:v>
                </c:pt>
                <c:pt idx="37" formatCode="General">
                  <c:v>100.2</c:v>
                </c:pt>
                <c:pt idx="38" formatCode="General">
                  <c:v>139</c:v>
                </c:pt>
                <c:pt idx="39" formatCode="General">
                  <c:v>94.1</c:v>
                </c:pt>
                <c:pt idx="40" formatCode="General">
                  <c:v>90</c:v>
                </c:pt>
                <c:pt idx="41" formatCode="General">
                  <c:v>90</c:v>
                </c:pt>
                <c:pt idx="42" formatCode="General">
                  <c:v>64.7</c:v>
                </c:pt>
                <c:pt idx="43" formatCode="General">
                  <c:v>60.9</c:v>
                </c:pt>
                <c:pt idx="44" formatCode="General">
                  <c:v>78.5</c:v>
                </c:pt>
                <c:pt idx="45" formatCode="General">
                  <c:v>80.599999999999994</c:v>
                </c:pt>
                <c:pt idx="46" formatCode="General">
                  <c:v>80.599999999999994</c:v>
                </c:pt>
                <c:pt idx="47" formatCode="General">
                  <c:v>73</c:v>
                </c:pt>
                <c:pt idx="48" formatCode="General">
                  <c:v>88.9</c:v>
                </c:pt>
                <c:pt idx="49" formatCode="General">
                  <c:v>78.5</c:v>
                </c:pt>
                <c:pt idx="50" formatCode="General">
                  <c:v>75.5</c:v>
                </c:pt>
                <c:pt idx="51" formatCode="General">
                  <c:v>95.52</c:v>
                </c:pt>
                <c:pt idx="52" formatCode="General">
                  <c:v>109.2</c:v>
                </c:pt>
                <c:pt idx="53" formatCode="General">
                  <c:v>74.3</c:v>
                </c:pt>
                <c:pt idx="54" formatCode="General">
                  <c:v>124</c:v>
                </c:pt>
                <c:pt idx="55" formatCode="General">
                  <c:v>121.3</c:v>
                </c:pt>
                <c:pt idx="56" formatCode="General">
                  <c:v>48.6</c:v>
                </c:pt>
                <c:pt idx="57" formatCode="General">
                  <c:v>121.3</c:v>
                </c:pt>
                <c:pt idx="58" formatCode="General">
                  <c:v>57.6</c:v>
                </c:pt>
                <c:pt idx="59" formatCode="General">
                  <c:v>88.9</c:v>
                </c:pt>
                <c:pt idx="60" formatCode="General">
                  <c:v>78.900000000000006</c:v>
                </c:pt>
                <c:pt idx="61" formatCode="General">
                  <c:v>113.4</c:v>
                </c:pt>
                <c:pt idx="62" formatCode="General">
                  <c:v>125.8</c:v>
                </c:pt>
                <c:pt idx="63" formatCode="General">
                  <c:v>88.9</c:v>
                </c:pt>
                <c:pt idx="64" formatCode="General">
                  <c:v>94</c:v>
                </c:pt>
                <c:pt idx="65" formatCode="General">
                  <c:v>84.2</c:v>
                </c:pt>
                <c:pt idx="66" formatCode="General">
                  <c:v>112</c:v>
                </c:pt>
                <c:pt idx="67" formatCode="General">
                  <c:v>130</c:v>
                </c:pt>
                <c:pt idx="68" formatCode="General">
                  <c:v>107.3</c:v>
                </c:pt>
                <c:pt idx="69" formatCode="General">
                  <c:v>96</c:v>
                </c:pt>
                <c:pt idx="70" formatCode="General">
                  <c:v>130</c:v>
                </c:pt>
                <c:pt idx="71" formatCode="General">
                  <c:v>96</c:v>
                </c:pt>
                <c:pt idx="72" formatCode="General">
                  <c:v>130</c:v>
                </c:pt>
                <c:pt idx="73" formatCode="General">
                  <c:v>107.3</c:v>
                </c:pt>
                <c:pt idx="74" formatCode="General">
                  <c:v>62</c:v>
                </c:pt>
                <c:pt idx="75" formatCode="General">
                  <c:v>79.5</c:v>
                </c:pt>
                <c:pt idx="76" formatCode="General">
                  <c:v>62</c:v>
                </c:pt>
                <c:pt idx="77" formatCode="General">
                  <c:v>89.2</c:v>
                </c:pt>
                <c:pt idx="78" formatCode="General">
                  <c:v>101.9</c:v>
                </c:pt>
                <c:pt idx="79" formatCode="General">
                  <c:v>68</c:v>
                </c:pt>
                <c:pt idx="80" formatCode="General">
                  <c:v>68</c:v>
                </c:pt>
                <c:pt idx="81" formatCode="General">
                  <c:v>62</c:v>
                </c:pt>
                <c:pt idx="82" formatCode="General">
                  <c:v>62</c:v>
                </c:pt>
                <c:pt idx="83" formatCode="General">
                  <c:v>79.5</c:v>
                </c:pt>
                <c:pt idx="84" formatCode="General">
                  <c:v>82</c:v>
                </c:pt>
                <c:pt idx="85" formatCode="General">
                  <c:v>68.3</c:v>
                </c:pt>
                <c:pt idx="86" formatCode="General">
                  <c:v>83.5</c:v>
                </c:pt>
              </c:numCache>
            </c:numRef>
          </c:xVal>
          <c:yVal>
            <c:numRef>
              <c:f>'Ice Breaker'!$U$125:$U$211</c:f>
              <c:numCache>
                <c:formatCode>General</c:formatCode>
                <c:ptCount val="8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19</c:v>
                </c:pt>
                <c:pt idx="5">
                  <c:v>8.1</c:v>
                </c:pt>
                <c:pt idx="6">
                  <c:v>5.4</c:v>
                </c:pt>
                <c:pt idx="7">
                  <c:v>5.4</c:v>
                </c:pt>
                <c:pt idx="9">
                  <c:v>16</c:v>
                </c:pt>
                <c:pt idx="10">
                  <c:v>17.399999999999999</c:v>
                </c:pt>
                <c:pt idx="11">
                  <c:v>54</c:v>
                </c:pt>
                <c:pt idx="12">
                  <c:v>25</c:v>
                </c:pt>
                <c:pt idx="14">
                  <c:v>13</c:v>
                </c:pt>
                <c:pt idx="15">
                  <c:v>7.5</c:v>
                </c:pt>
                <c:pt idx="16">
                  <c:v>6.7</c:v>
                </c:pt>
                <c:pt idx="17">
                  <c:v>16.399999999999999</c:v>
                </c:pt>
                <c:pt idx="18">
                  <c:v>10</c:v>
                </c:pt>
                <c:pt idx="19">
                  <c:v>15</c:v>
                </c:pt>
                <c:pt idx="20">
                  <c:v>15</c:v>
                </c:pt>
                <c:pt idx="21">
                  <c:v>13</c:v>
                </c:pt>
                <c:pt idx="22">
                  <c:v>3.8</c:v>
                </c:pt>
                <c:pt idx="23">
                  <c:v>10</c:v>
                </c:pt>
                <c:pt idx="24">
                  <c:v>13.4</c:v>
                </c:pt>
                <c:pt idx="25">
                  <c:v>13.4</c:v>
                </c:pt>
                <c:pt idx="26">
                  <c:v>13.4</c:v>
                </c:pt>
                <c:pt idx="27">
                  <c:v>22.4</c:v>
                </c:pt>
                <c:pt idx="28">
                  <c:v>10</c:v>
                </c:pt>
                <c:pt idx="29">
                  <c:v>5.8</c:v>
                </c:pt>
                <c:pt idx="30">
                  <c:v>16.2</c:v>
                </c:pt>
                <c:pt idx="31">
                  <c:v>15</c:v>
                </c:pt>
                <c:pt idx="32">
                  <c:v>15</c:v>
                </c:pt>
                <c:pt idx="33">
                  <c:v>9.9</c:v>
                </c:pt>
                <c:pt idx="34">
                  <c:v>6.3</c:v>
                </c:pt>
                <c:pt idx="35">
                  <c:v>36.799999999999997</c:v>
                </c:pt>
                <c:pt idx="36">
                  <c:v>10</c:v>
                </c:pt>
                <c:pt idx="37">
                  <c:v>17.7</c:v>
                </c:pt>
                <c:pt idx="38">
                  <c:v>13.9</c:v>
                </c:pt>
                <c:pt idx="39">
                  <c:v>12</c:v>
                </c:pt>
                <c:pt idx="40">
                  <c:v>15</c:v>
                </c:pt>
                <c:pt idx="41">
                  <c:v>15</c:v>
                </c:pt>
                <c:pt idx="42">
                  <c:v>5.3</c:v>
                </c:pt>
                <c:pt idx="43">
                  <c:v>9</c:v>
                </c:pt>
                <c:pt idx="44">
                  <c:v>7</c:v>
                </c:pt>
                <c:pt idx="45">
                  <c:v>17.7</c:v>
                </c:pt>
                <c:pt idx="46">
                  <c:v>17.100000000000001</c:v>
                </c:pt>
                <c:pt idx="47">
                  <c:v>7.1</c:v>
                </c:pt>
                <c:pt idx="48">
                  <c:v>10</c:v>
                </c:pt>
                <c:pt idx="49">
                  <c:v>7</c:v>
                </c:pt>
                <c:pt idx="50">
                  <c:v>11.2</c:v>
                </c:pt>
                <c:pt idx="51">
                  <c:v>7</c:v>
                </c:pt>
                <c:pt idx="52">
                  <c:v>14</c:v>
                </c:pt>
                <c:pt idx="53">
                  <c:v>7.3</c:v>
                </c:pt>
                <c:pt idx="54">
                  <c:v>22.1</c:v>
                </c:pt>
                <c:pt idx="55">
                  <c:v>16.2</c:v>
                </c:pt>
                <c:pt idx="56">
                  <c:v>4.4000000000000004</c:v>
                </c:pt>
                <c:pt idx="57">
                  <c:v>16.2</c:v>
                </c:pt>
                <c:pt idx="58">
                  <c:v>8.6999999999999993</c:v>
                </c:pt>
                <c:pt idx="59">
                  <c:v>10</c:v>
                </c:pt>
                <c:pt idx="60">
                  <c:v>12.5</c:v>
                </c:pt>
                <c:pt idx="61">
                  <c:v>11.95</c:v>
                </c:pt>
                <c:pt idx="62">
                  <c:v>16.2</c:v>
                </c:pt>
                <c:pt idx="63">
                  <c:v>10</c:v>
                </c:pt>
                <c:pt idx="64">
                  <c:v>11.5</c:v>
                </c:pt>
                <c:pt idx="65">
                  <c:v>3.3</c:v>
                </c:pt>
                <c:pt idx="66">
                  <c:v>4.4800000000000004</c:v>
                </c:pt>
                <c:pt idx="67">
                  <c:v>26.5</c:v>
                </c:pt>
                <c:pt idx="68">
                  <c:v>44.8</c:v>
                </c:pt>
                <c:pt idx="69">
                  <c:v>16.2</c:v>
                </c:pt>
                <c:pt idx="70">
                  <c:v>26.5</c:v>
                </c:pt>
                <c:pt idx="71">
                  <c:v>16.2</c:v>
                </c:pt>
                <c:pt idx="72">
                  <c:v>26.5</c:v>
                </c:pt>
                <c:pt idx="73">
                  <c:v>44.8</c:v>
                </c:pt>
                <c:pt idx="74">
                  <c:v>3.5</c:v>
                </c:pt>
                <c:pt idx="75">
                  <c:v>8.6999999999999993</c:v>
                </c:pt>
                <c:pt idx="76">
                  <c:v>3.5</c:v>
                </c:pt>
                <c:pt idx="77">
                  <c:v>8.8000000000000007</c:v>
                </c:pt>
                <c:pt idx="78">
                  <c:v>17.7</c:v>
                </c:pt>
                <c:pt idx="79">
                  <c:v>8.6999999999999993</c:v>
                </c:pt>
                <c:pt idx="80">
                  <c:v>8.6999999999999993</c:v>
                </c:pt>
                <c:pt idx="81">
                  <c:v>3.5</c:v>
                </c:pt>
                <c:pt idx="82">
                  <c:v>3.5</c:v>
                </c:pt>
                <c:pt idx="83">
                  <c:v>8.6999999999999993</c:v>
                </c:pt>
                <c:pt idx="84">
                  <c:v>8.4</c:v>
                </c:pt>
                <c:pt idx="85">
                  <c:v>5.5</c:v>
                </c:pt>
                <c:pt idx="86">
                  <c:v>10.199999999999999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A5F-419D-8D8E-E9231ADB3F3E}"/>
            </c:ext>
          </c:extLst>
        </c:ser>
        <c:ser>
          <c:idx val="1"/>
          <c:order val="1"/>
          <c:spPr>
            <a:ln w="19050">
              <a:noFill/>
            </a:ln>
          </c:spPr>
          <c:xVal>
            <c:numRef>
              <c:f>'Ice Breaker'!$B$2</c:f>
              <c:numCache>
                <c:formatCode>General</c:formatCode>
                <c:ptCount val="1"/>
                <c:pt idx="0">
                  <c:v>100</c:v>
                </c:pt>
              </c:numCache>
            </c:numRef>
          </c:xVal>
          <c:yVal>
            <c:numRef>
              <c:f>'Ice Breaker'!$B$9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A5F-419D-8D8E-E9231ADB3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730432"/>
        <c:axId val="89753088"/>
      </c:scatterChart>
      <c:valAx>
        <c:axId val="8973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L</a:t>
                </a:r>
                <a:r>
                  <a:rPr lang="fi-FI" baseline="0"/>
                  <a:t> (m)</a:t>
                </a:r>
                <a:endParaRPr lang="fi-FI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89753088"/>
        <c:crosses val="autoZero"/>
        <c:crossBetween val="midCat"/>
      </c:valAx>
      <c:valAx>
        <c:axId val="897530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P</a:t>
                </a:r>
                <a:r>
                  <a:rPr lang="fi-FI" baseline="0"/>
                  <a:t> (MW)</a:t>
                </a:r>
                <a:endParaRPr lang="fi-FI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97304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Disp vs Dw</c:v>
          </c:tx>
          <c:spPr>
            <a:ln w="28575">
              <a:noFill/>
            </a:ln>
          </c:spPr>
          <c:marker>
            <c:symbol val="diamond"/>
            <c:size val="2"/>
            <c:spPr>
              <a:solidFill>
                <a:schemeClr val="tx1"/>
              </a:solidFill>
              <a:ln>
                <a:noFill/>
              </a:ln>
            </c:spPr>
          </c:marker>
          <c:trendline>
            <c:trendlineType val="power"/>
            <c:dispRSqr val="0"/>
            <c:dispEq val="0"/>
          </c:trendline>
          <c:xVal>
            <c:numRef>
              <c:f>('Ice Breaker'!$M$312,'Ice Breaker'!$M$316,'Ice Breaker'!$M$141,'Ice Breaker'!$M$143,'Ice Breaker'!$M$145,'Ice Breaker'!$M$149:$M$153,'Ice Breaker'!$M$155:$M$157,'Ice Breaker'!$M$160:$M$162,'Ice Breaker'!$M$168:$M$170,'Ice Breaker'!$M$172:$M$173,'Ice Breaker'!$M$176:$M$195)</c:f>
              <c:numCache>
                <c:formatCode>General</c:formatCode>
                <c:ptCount val="41"/>
                <c:pt idx="0">
                  <c:v>2760</c:v>
                </c:pt>
                <c:pt idx="1">
                  <c:v>10874</c:v>
                </c:pt>
                <c:pt idx="2">
                  <c:v>3500</c:v>
                </c:pt>
                <c:pt idx="3">
                  <c:v>4566</c:v>
                </c:pt>
                <c:pt idx="4">
                  <c:v>9672</c:v>
                </c:pt>
                <c:pt idx="5">
                  <c:v>7000</c:v>
                </c:pt>
                <c:pt idx="6">
                  <c:v>7000</c:v>
                </c:pt>
                <c:pt idx="7">
                  <c:v>7000</c:v>
                </c:pt>
                <c:pt idx="8">
                  <c:v>16000</c:v>
                </c:pt>
                <c:pt idx="9">
                  <c:v>8730</c:v>
                </c:pt>
                <c:pt idx="10">
                  <c:v>17281</c:v>
                </c:pt>
                <c:pt idx="11">
                  <c:v>12800</c:v>
                </c:pt>
                <c:pt idx="12">
                  <c:v>12800</c:v>
                </c:pt>
                <c:pt idx="13">
                  <c:v>21100</c:v>
                </c:pt>
                <c:pt idx="14">
                  <c:v>8158</c:v>
                </c:pt>
                <c:pt idx="15">
                  <c:v>13000</c:v>
                </c:pt>
                <c:pt idx="17">
                  <c:v>6583</c:v>
                </c:pt>
                <c:pt idx="18">
                  <c:v>4234</c:v>
                </c:pt>
                <c:pt idx="20">
                  <c:v>5910</c:v>
                </c:pt>
                <c:pt idx="21">
                  <c:v>8154</c:v>
                </c:pt>
                <c:pt idx="22">
                  <c:v>17300</c:v>
                </c:pt>
                <c:pt idx="24">
                  <c:v>11786</c:v>
                </c:pt>
                <c:pt idx="25">
                  <c:v>14917</c:v>
                </c:pt>
                <c:pt idx="27">
                  <c:v>14917</c:v>
                </c:pt>
                <c:pt idx="29">
                  <c:v>5910</c:v>
                </c:pt>
                <c:pt idx="30">
                  <c:v>6921</c:v>
                </c:pt>
                <c:pt idx="31">
                  <c:v>14899</c:v>
                </c:pt>
                <c:pt idx="32">
                  <c:v>16017</c:v>
                </c:pt>
                <c:pt idx="33">
                  <c:v>5910</c:v>
                </c:pt>
                <c:pt idx="34">
                  <c:v>4100</c:v>
                </c:pt>
                <c:pt idx="36">
                  <c:v>13687</c:v>
                </c:pt>
                <c:pt idx="37">
                  <c:v>20247</c:v>
                </c:pt>
                <c:pt idx="38">
                  <c:v>13194</c:v>
                </c:pt>
                <c:pt idx="39">
                  <c:v>7525</c:v>
                </c:pt>
                <c:pt idx="40">
                  <c:v>20247</c:v>
                </c:pt>
              </c:numCache>
            </c:numRef>
          </c:xVal>
          <c:yVal>
            <c:numRef>
              <c:f>('Ice Breaker'!$N$312,'Ice Breaker'!$N$316,'Ice Breaker'!$N$141,'Ice Breaker'!$N$143,'Ice Breaker'!$N$145,'Ice Breaker'!$N$149:$N$153,'Ice Breaker'!$N$155:$N$157,'Ice Breaker'!$N$160:$N$162,'Ice Breaker'!$N$168:$N$170,'Ice Breaker'!$N$172:$N$173,'Ice Breaker'!$N$176:$N$195)</c:f>
              <c:numCache>
                <c:formatCode>General</c:formatCode>
                <c:ptCount val="41"/>
                <c:pt idx="0">
                  <c:v>893</c:v>
                </c:pt>
                <c:pt idx="1">
                  <c:v>4643</c:v>
                </c:pt>
                <c:pt idx="3">
                  <c:v>1323</c:v>
                </c:pt>
                <c:pt idx="4">
                  <c:v>3949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9">
                  <c:v>2850</c:v>
                </c:pt>
                <c:pt idx="10">
                  <c:v>5138</c:v>
                </c:pt>
                <c:pt idx="11">
                  <c:v>4800</c:v>
                </c:pt>
                <c:pt idx="12">
                  <c:v>4800</c:v>
                </c:pt>
                <c:pt idx="13">
                  <c:v>3550</c:v>
                </c:pt>
                <c:pt idx="14">
                  <c:v>3911</c:v>
                </c:pt>
                <c:pt idx="15">
                  <c:v>4906</c:v>
                </c:pt>
                <c:pt idx="16">
                  <c:v>1477</c:v>
                </c:pt>
                <c:pt idx="17">
                  <c:v>2281</c:v>
                </c:pt>
                <c:pt idx="19">
                  <c:v>7991</c:v>
                </c:pt>
                <c:pt idx="21">
                  <c:v>2920</c:v>
                </c:pt>
                <c:pt idx="23">
                  <c:v>2734</c:v>
                </c:pt>
                <c:pt idx="25">
                  <c:v>4418</c:v>
                </c:pt>
                <c:pt idx="26">
                  <c:v>266</c:v>
                </c:pt>
                <c:pt idx="27">
                  <c:v>4515</c:v>
                </c:pt>
                <c:pt idx="30">
                  <c:v>2066</c:v>
                </c:pt>
                <c:pt idx="31">
                  <c:v>4600</c:v>
                </c:pt>
                <c:pt idx="32">
                  <c:v>4836</c:v>
                </c:pt>
                <c:pt idx="35">
                  <c:v>2066</c:v>
                </c:pt>
                <c:pt idx="37">
                  <c:v>7560</c:v>
                </c:pt>
                <c:pt idx="40">
                  <c:v>7560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F9-41B7-A973-DA8C42968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876736"/>
        <c:axId val="89887104"/>
      </c:scatterChart>
      <c:valAx>
        <c:axId val="89876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Displacement</a:t>
                </a:r>
                <a:r>
                  <a:rPr lang="fi-FI" baseline="0"/>
                  <a:t> (t)</a:t>
                </a:r>
                <a:endParaRPr lang="fi-FI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9887104"/>
        <c:crosses val="autoZero"/>
        <c:crossBetween val="midCat"/>
      </c:valAx>
      <c:valAx>
        <c:axId val="89887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Deadweight</a:t>
                </a:r>
                <a:r>
                  <a:rPr lang="fi-FI" baseline="0"/>
                  <a:t> (t)</a:t>
                </a:r>
                <a:endParaRPr lang="fi-FI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98767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D vs L</c:v>
          </c:tx>
          <c:spPr>
            <a:ln w="28575">
              <a:noFill/>
            </a:ln>
          </c:spPr>
          <c:marker>
            <c:symbol val="diamond"/>
            <c:size val="2"/>
            <c:spPr>
              <a:solidFill>
                <a:schemeClr val="tx1"/>
              </a:solidFill>
              <a:ln>
                <a:noFill/>
              </a:ln>
            </c:spPr>
          </c:marker>
          <c:trendline>
            <c:trendlineType val="power"/>
            <c:dispRSqr val="0"/>
            <c:dispEq val="0"/>
          </c:trendline>
          <c:xVal>
            <c:numRef>
              <c:f>('Ice Breaker'!$H$309,'Ice Breaker'!$H$315,'Ice Breaker'!$H$144,'Ice Breaker'!$H$147:$H$152,'Ice Breaker'!$H$160,'Ice Breaker'!$H$162:$H$206)</c:f>
              <c:numCache>
                <c:formatCode>General</c:formatCode>
                <c:ptCount val="55"/>
                <c:pt idx="0">
                  <c:v>62.4</c:v>
                </c:pt>
                <c:pt idx="1">
                  <c:v>73.3</c:v>
                </c:pt>
                <c:pt idx="2">
                  <c:v>84.4</c:v>
                </c:pt>
                <c:pt idx="3">
                  <c:v>88.2</c:v>
                </c:pt>
                <c:pt idx="4">
                  <c:v>89</c:v>
                </c:pt>
                <c:pt idx="5">
                  <c:v>75.2</c:v>
                </c:pt>
                <c:pt idx="6">
                  <c:v>75.2</c:v>
                </c:pt>
                <c:pt idx="7">
                  <c:v>75.2</c:v>
                </c:pt>
                <c:pt idx="8">
                  <c:v>120.9</c:v>
                </c:pt>
                <c:pt idx="9">
                  <c:v>136.32</c:v>
                </c:pt>
                <c:pt idx="10">
                  <c:v>100.2</c:v>
                </c:pt>
                <c:pt idx="11">
                  <c:v>139</c:v>
                </c:pt>
                <c:pt idx="12">
                  <c:v>94.1</c:v>
                </c:pt>
                <c:pt idx="13">
                  <c:v>90</c:v>
                </c:pt>
                <c:pt idx="14">
                  <c:v>90</c:v>
                </c:pt>
                <c:pt idx="15">
                  <c:v>64.7</c:v>
                </c:pt>
                <c:pt idx="16">
                  <c:v>60.9</c:v>
                </c:pt>
                <c:pt idx="17">
                  <c:v>78.5</c:v>
                </c:pt>
                <c:pt idx="18">
                  <c:v>80.599999999999994</c:v>
                </c:pt>
                <c:pt idx="19">
                  <c:v>80.599999999999994</c:v>
                </c:pt>
                <c:pt idx="20">
                  <c:v>73</c:v>
                </c:pt>
                <c:pt idx="21">
                  <c:v>88.9</c:v>
                </c:pt>
                <c:pt idx="22">
                  <c:v>78.5</c:v>
                </c:pt>
                <c:pt idx="23">
                  <c:v>75.5</c:v>
                </c:pt>
                <c:pt idx="24">
                  <c:v>95.52</c:v>
                </c:pt>
                <c:pt idx="25">
                  <c:v>109.2</c:v>
                </c:pt>
                <c:pt idx="26">
                  <c:v>74.3</c:v>
                </c:pt>
                <c:pt idx="27">
                  <c:v>124</c:v>
                </c:pt>
                <c:pt idx="28">
                  <c:v>121.3</c:v>
                </c:pt>
                <c:pt idx="29">
                  <c:v>48.6</c:v>
                </c:pt>
                <c:pt idx="30">
                  <c:v>121.3</c:v>
                </c:pt>
                <c:pt idx="31">
                  <c:v>57.6</c:v>
                </c:pt>
                <c:pt idx="32">
                  <c:v>88.9</c:v>
                </c:pt>
                <c:pt idx="33">
                  <c:v>78.900000000000006</c:v>
                </c:pt>
                <c:pt idx="34">
                  <c:v>113.4</c:v>
                </c:pt>
                <c:pt idx="35">
                  <c:v>125.8</c:v>
                </c:pt>
                <c:pt idx="36">
                  <c:v>88.9</c:v>
                </c:pt>
                <c:pt idx="37">
                  <c:v>94</c:v>
                </c:pt>
                <c:pt idx="38">
                  <c:v>84.2</c:v>
                </c:pt>
                <c:pt idx="39">
                  <c:v>112</c:v>
                </c:pt>
                <c:pt idx="40">
                  <c:v>130</c:v>
                </c:pt>
                <c:pt idx="41">
                  <c:v>107.3</c:v>
                </c:pt>
                <c:pt idx="42">
                  <c:v>96</c:v>
                </c:pt>
                <c:pt idx="43">
                  <c:v>130</c:v>
                </c:pt>
                <c:pt idx="44">
                  <c:v>96</c:v>
                </c:pt>
                <c:pt idx="45">
                  <c:v>130</c:v>
                </c:pt>
                <c:pt idx="46">
                  <c:v>107.3</c:v>
                </c:pt>
                <c:pt idx="47">
                  <c:v>62</c:v>
                </c:pt>
                <c:pt idx="48">
                  <c:v>79.5</c:v>
                </c:pt>
                <c:pt idx="49">
                  <c:v>62</c:v>
                </c:pt>
                <c:pt idx="50">
                  <c:v>89.2</c:v>
                </c:pt>
                <c:pt idx="51">
                  <c:v>101.9</c:v>
                </c:pt>
                <c:pt idx="52">
                  <c:v>68</c:v>
                </c:pt>
                <c:pt idx="53">
                  <c:v>68</c:v>
                </c:pt>
                <c:pt idx="54">
                  <c:v>62</c:v>
                </c:pt>
              </c:numCache>
            </c:numRef>
          </c:xVal>
          <c:yVal>
            <c:numRef>
              <c:f>('Ice Breaker'!$I$309,'Ice Breaker'!$I$315,'Ice Breaker'!$I$144,'Ice Breaker'!$I$147:$I$152,'Ice Breaker'!$I$160,'Ice Breaker'!$I$162:$I$206)</c:f>
              <c:numCache>
                <c:formatCode>General</c:formatCode>
                <c:ptCount val="55"/>
                <c:pt idx="0">
                  <c:v>6.2</c:v>
                </c:pt>
                <c:pt idx="1">
                  <c:v>11.2</c:v>
                </c:pt>
                <c:pt idx="2">
                  <c:v>10.5</c:v>
                </c:pt>
                <c:pt idx="4">
                  <c:v>8.3000000000000007</c:v>
                </c:pt>
                <c:pt idx="5">
                  <c:v>8.5</c:v>
                </c:pt>
                <c:pt idx="6">
                  <c:v>8.5</c:v>
                </c:pt>
                <c:pt idx="7">
                  <c:v>8.5</c:v>
                </c:pt>
                <c:pt idx="9">
                  <c:v>15.68</c:v>
                </c:pt>
                <c:pt idx="10">
                  <c:v>12</c:v>
                </c:pt>
                <c:pt idx="11">
                  <c:v>13.3</c:v>
                </c:pt>
                <c:pt idx="13">
                  <c:v>11.31</c:v>
                </c:pt>
                <c:pt idx="14">
                  <c:v>11.31</c:v>
                </c:pt>
                <c:pt idx="17">
                  <c:v>10.5</c:v>
                </c:pt>
                <c:pt idx="19">
                  <c:v>10</c:v>
                </c:pt>
                <c:pt idx="22">
                  <c:v>10.5</c:v>
                </c:pt>
                <c:pt idx="23">
                  <c:v>9.6999999999999993</c:v>
                </c:pt>
                <c:pt idx="24">
                  <c:v>10.5</c:v>
                </c:pt>
                <c:pt idx="26">
                  <c:v>7.5</c:v>
                </c:pt>
                <c:pt idx="28">
                  <c:v>12.3</c:v>
                </c:pt>
                <c:pt idx="30">
                  <c:v>12.3</c:v>
                </c:pt>
                <c:pt idx="33">
                  <c:v>10.01</c:v>
                </c:pt>
                <c:pt idx="35">
                  <c:v>12.3</c:v>
                </c:pt>
                <c:pt idx="38">
                  <c:v>10.01</c:v>
                </c:pt>
                <c:pt idx="40">
                  <c:v>16.7</c:v>
                </c:pt>
                <c:pt idx="43">
                  <c:v>16.7</c:v>
                </c:pt>
                <c:pt idx="45">
                  <c:v>16.72</c:v>
                </c:pt>
                <c:pt idx="47">
                  <c:v>8.32</c:v>
                </c:pt>
                <c:pt idx="48">
                  <c:v>9.5</c:v>
                </c:pt>
                <c:pt idx="49">
                  <c:v>8.32</c:v>
                </c:pt>
                <c:pt idx="51">
                  <c:v>16.3</c:v>
                </c:pt>
                <c:pt idx="54">
                  <c:v>8.32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04-4C67-AAC3-FAEBD2FE31F0}"/>
            </c:ext>
          </c:extLst>
        </c:ser>
        <c:ser>
          <c:idx val="1"/>
          <c:order val="1"/>
          <c:spPr>
            <a:ln w="19050">
              <a:noFill/>
            </a:ln>
          </c:spPr>
          <c:xVal>
            <c:numRef>
              <c:f>'Ice Breaker'!$B$2</c:f>
              <c:numCache>
                <c:formatCode>General</c:formatCode>
                <c:ptCount val="1"/>
                <c:pt idx="0">
                  <c:v>100</c:v>
                </c:pt>
              </c:numCache>
            </c:numRef>
          </c:xVal>
          <c:yVal>
            <c:numRef>
              <c:f>'Ice Breaker'!$B$5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504-4C67-AAC3-FAEBD2FE3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34272"/>
        <c:axId val="82650624"/>
      </c:scatterChart>
      <c:valAx>
        <c:axId val="8733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L (m)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2650624"/>
        <c:crosses val="autoZero"/>
        <c:crossBetween val="midCat"/>
      </c:valAx>
      <c:valAx>
        <c:axId val="82650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D</a:t>
                </a:r>
                <a:r>
                  <a:rPr lang="fi-FI" baseline="0"/>
                  <a:t> (m)</a:t>
                </a:r>
                <a:endParaRPr lang="fi-FI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73342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L/GT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0"/>
          </c:trendline>
          <c:xVal>
            <c:numRef>
              <c:f>Cruise!$I$104:$I$342</c:f>
              <c:numCache>
                <c:formatCode>General</c:formatCode>
                <c:ptCount val="239"/>
                <c:pt idx="0">
                  <c:v>339</c:v>
                </c:pt>
                <c:pt idx="1">
                  <c:v>362</c:v>
                </c:pt>
                <c:pt idx="2">
                  <c:v>310</c:v>
                </c:pt>
                <c:pt idx="3">
                  <c:v>253.3</c:v>
                </c:pt>
                <c:pt idx="4">
                  <c:v>362</c:v>
                </c:pt>
                <c:pt idx="5">
                  <c:v>362</c:v>
                </c:pt>
                <c:pt idx="6">
                  <c:v>348</c:v>
                </c:pt>
                <c:pt idx="7">
                  <c:v>181</c:v>
                </c:pt>
                <c:pt idx="8">
                  <c:v>290</c:v>
                </c:pt>
                <c:pt idx="9">
                  <c:v>306</c:v>
                </c:pt>
                <c:pt idx="10">
                  <c:v>290</c:v>
                </c:pt>
                <c:pt idx="11">
                  <c:v>272</c:v>
                </c:pt>
                <c:pt idx="12">
                  <c:v>306</c:v>
                </c:pt>
                <c:pt idx="13">
                  <c:v>308</c:v>
                </c:pt>
                <c:pt idx="14">
                  <c:v>260.60000000000002</c:v>
                </c:pt>
                <c:pt idx="15">
                  <c:v>290</c:v>
                </c:pt>
                <c:pt idx="16">
                  <c:v>292.5</c:v>
                </c:pt>
                <c:pt idx="17">
                  <c:v>306</c:v>
                </c:pt>
                <c:pt idx="18">
                  <c:v>305</c:v>
                </c:pt>
                <c:pt idx="19">
                  <c:v>324</c:v>
                </c:pt>
                <c:pt idx="20">
                  <c:v>246</c:v>
                </c:pt>
                <c:pt idx="21">
                  <c:v>263.89999999999998</c:v>
                </c:pt>
                <c:pt idx="22">
                  <c:v>319</c:v>
                </c:pt>
                <c:pt idx="23">
                  <c:v>315</c:v>
                </c:pt>
                <c:pt idx="24">
                  <c:v>319</c:v>
                </c:pt>
                <c:pt idx="25">
                  <c:v>315</c:v>
                </c:pt>
                <c:pt idx="26">
                  <c:v>319</c:v>
                </c:pt>
                <c:pt idx="27">
                  <c:v>88.5</c:v>
                </c:pt>
                <c:pt idx="28">
                  <c:v>191</c:v>
                </c:pt>
                <c:pt idx="29">
                  <c:v>100.01</c:v>
                </c:pt>
                <c:pt idx="30">
                  <c:v>104</c:v>
                </c:pt>
                <c:pt idx="31">
                  <c:v>104</c:v>
                </c:pt>
                <c:pt idx="32">
                  <c:v>90.220800000000011</c:v>
                </c:pt>
                <c:pt idx="33">
                  <c:v>223.7</c:v>
                </c:pt>
                <c:pt idx="34">
                  <c:v>294</c:v>
                </c:pt>
                <c:pt idx="35">
                  <c:v>91</c:v>
                </c:pt>
                <c:pt idx="36">
                  <c:v>250</c:v>
                </c:pt>
                <c:pt idx="37">
                  <c:v>250</c:v>
                </c:pt>
                <c:pt idx="38">
                  <c:v>238</c:v>
                </c:pt>
                <c:pt idx="39">
                  <c:v>261.3</c:v>
                </c:pt>
                <c:pt idx="40">
                  <c:v>290</c:v>
                </c:pt>
                <c:pt idx="41">
                  <c:v>340</c:v>
                </c:pt>
                <c:pt idx="42">
                  <c:v>340</c:v>
                </c:pt>
                <c:pt idx="43">
                  <c:v>340</c:v>
                </c:pt>
                <c:pt idx="44">
                  <c:v>88.3</c:v>
                </c:pt>
                <c:pt idx="45">
                  <c:v>290</c:v>
                </c:pt>
                <c:pt idx="46">
                  <c:v>301.8</c:v>
                </c:pt>
                <c:pt idx="47">
                  <c:v>218.8</c:v>
                </c:pt>
                <c:pt idx="48">
                  <c:v>310</c:v>
                </c:pt>
                <c:pt idx="49">
                  <c:v>311</c:v>
                </c:pt>
                <c:pt idx="50">
                  <c:v>188.3</c:v>
                </c:pt>
                <c:pt idx="51">
                  <c:v>216.8</c:v>
                </c:pt>
                <c:pt idx="52">
                  <c:v>339</c:v>
                </c:pt>
                <c:pt idx="53">
                  <c:v>89.35</c:v>
                </c:pt>
                <c:pt idx="54">
                  <c:v>212.1</c:v>
                </c:pt>
                <c:pt idx="55">
                  <c:v>335.3</c:v>
                </c:pt>
                <c:pt idx="56">
                  <c:v>362.12</c:v>
                </c:pt>
                <c:pt idx="57">
                  <c:v>333.33</c:v>
                </c:pt>
                <c:pt idx="58">
                  <c:v>108.2</c:v>
                </c:pt>
                <c:pt idx="59">
                  <c:v>339</c:v>
                </c:pt>
                <c:pt idx="60">
                  <c:v>339</c:v>
                </c:pt>
                <c:pt idx="61">
                  <c:v>208.48320000000001</c:v>
                </c:pt>
                <c:pt idx="62">
                  <c:v>171.2</c:v>
                </c:pt>
                <c:pt idx="63">
                  <c:v>90</c:v>
                </c:pt>
                <c:pt idx="64">
                  <c:v>293.2</c:v>
                </c:pt>
                <c:pt idx="65">
                  <c:v>297</c:v>
                </c:pt>
                <c:pt idx="66">
                  <c:v>142</c:v>
                </c:pt>
                <c:pt idx="67">
                  <c:v>100</c:v>
                </c:pt>
                <c:pt idx="68">
                  <c:v>339</c:v>
                </c:pt>
                <c:pt idx="69">
                  <c:v>339</c:v>
                </c:pt>
                <c:pt idx="70">
                  <c:v>330</c:v>
                </c:pt>
                <c:pt idx="71">
                  <c:v>268.2</c:v>
                </c:pt>
                <c:pt idx="72">
                  <c:v>251</c:v>
                </c:pt>
                <c:pt idx="73">
                  <c:v>216</c:v>
                </c:pt>
                <c:pt idx="74">
                  <c:v>310</c:v>
                </c:pt>
                <c:pt idx="75">
                  <c:v>296</c:v>
                </c:pt>
                <c:pt idx="76">
                  <c:v>315.8</c:v>
                </c:pt>
                <c:pt idx="77">
                  <c:v>111</c:v>
                </c:pt>
                <c:pt idx="78">
                  <c:v>200</c:v>
                </c:pt>
                <c:pt idx="79">
                  <c:v>122.8</c:v>
                </c:pt>
                <c:pt idx="80">
                  <c:v>333</c:v>
                </c:pt>
                <c:pt idx="81">
                  <c:v>333</c:v>
                </c:pt>
                <c:pt idx="82">
                  <c:v>333</c:v>
                </c:pt>
                <c:pt idx="83">
                  <c:v>333</c:v>
                </c:pt>
                <c:pt idx="84">
                  <c:v>333</c:v>
                </c:pt>
                <c:pt idx="85">
                  <c:v>333</c:v>
                </c:pt>
                <c:pt idx="86">
                  <c:v>333</c:v>
                </c:pt>
                <c:pt idx="87">
                  <c:v>135</c:v>
                </c:pt>
                <c:pt idx="88">
                  <c:v>112</c:v>
                </c:pt>
                <c:pt idx="89">
                  <c:v>181</c:v>
                </c:pt>
                <c:pt idx="90">
                  <c:v>170.69</c:v>
                </c:pt>
                <c:pt idx="91">
                  <c:v>310</c:v>
                </c:pt>
                <c:pt idx="92">
                  <c:v>154.4</c:v>
                </c:pt>
                <c:pt idx="93">
                  <c:v>324</c:v>
                </c:pt>
                <c:pt idx="94">
                  <c:v>325</c:v>
                </c:pt>
                <c:pt idx="95">
                  <c:v>329</c:v>
                </c:pt>
                <c:pt idx="96">
                  <c:v>325.89999999999998</c:v>
                </c:pt>
                <c:pt idx="97">
                  <c:v>325.7</c:v>
                </c:pt>
                <c:pt idx="98">
                  <c:v>333.5</c:v>
                </c:pt>
                <c:pt idx="99">
                  <c:v>124.19</c:v>
                </c:pt>
                <c:pt idx="100">
                  <c:v>198.19</c:v>
                </c:pt>
                <c:pt idx="101">
                  <c:v>102.7</c:v>
                </c:pt>
                <c:pt idx="102">
                  <c:v>347.77680000000004</c:v>
                </c:pt>
                <c:pt idx="103">
                  <c:v>294</c:v>
                </c:pt>
                <c:pt idx="104">
                  <c:v>294</c:v>
                </c:pt>
                <c:pt idx="105">
                  <c:v>345</c:v>
                </c:pt>
                <c:pt idx="106">
                  <c:v>294</c:v>
                </c:pt>
                <c:pt idx="107">
                  <c:v>198</c:v>
                </c:pt>
                <c:pt idx="108">
                  <c:v>330</c:v>
                </c:pt>
                <c:pt idx="109">
                  <c:v>181</c:v>
                </c:pt>
                <c:pt idx="110">
                  <c:v>251</c:v>
                </c:pt>
                <c:pt idx="111">
                  <c:v>136.12</c:v>
                </c:pt>
                <c:pt idx="112">
                  <c:v>330</c:v>
                </c:pt>
                <c:pt idx="113">
                  <c:v>181</c:v>
                </c:pt>
                <c:pt idx="114">
                  <c:v>329</c:v>
                </c:pt>
                <c:pt idx="115">
                  <c:v>154.41</c:v>
                </c:pt>
                <c:pt idx="116">
                  <c:v>135</c:v>
                </c:pt>
                <c:pt idx="117">
                  <c:v>198</c:v>
                </c:pt>
                <c:pt idx="118">
                  <c:v>134.1</c:v>
                </c:pt>
                <c:pt idx="119">
                  <c:v>104.81</c:v>
                </c:pt>
                <c:pt idx="120">
                  <c:v>224</c:v>
                </c:pt>
                <c:pt idx="121">
                  <c:v>170.6</c:v>
                </c:pt>
                <c:pt idx="122">
                  <c:v>204.1</c:v>
                </c:pt>
                <c:pt idx="123">
                  <c:v>232.86720000000003</c:v>
                </c:pt>
                <c:pt idx="124">
                  <c:v>202</c:v>
                </c:pt>
                <c:pt idx="125">
                  <c:v>203.03</c:v>
                </c:pt>
                <c:pt idx="126">
                  <c:v>108</c:v>
                </c:pt>
                <c:pt idx="127">
                  <c:v>196</c:v>
                </c:pt>
                <c:pt idx="128">
                  <c:v>198</c:v>
                </c:pt>
                <c:pt idx="129">
                  <c:v>329.18400000000003</c:v>
                </c:pt>
                <c:pt idx="130">
                  <c:v>90</c:v>
                </c:pt>
                <c:pt idx="131">
                  <c:v>264.2</c:v>
                </c:pt>
                <c:pt idx="132">
                  <c:v>268.60000000000002</c:v>
                </c:pt>
                <c:pt idx="133">
                  <c:v>194</c:v>
                </c:pt>
                <c:pt idx="134">
                  <c:v>228.2</c:v>
                </c:pt>
                <c:pt idx="135">
                  <c:v>228</c:v>
                </c:pt>
                <c:pt idx="136">
                  <c:v>279</c:v>
                </c:pt>
                <c:pt idx="137">
                  <c:v>206.5</c:v>
                </c:pt>
                <c:pt idx="138">
                  <c:v>310</c:v>
                </c:pt>
                <c:pt idx="139">
                  <c:v>232.86720000000003</c:v>
                </c:pt>
                <c:pt idx="140">
                  <c:v>90.220800000000011</c:v>
                </c:pt>
                <c:pt idx="141">
                  <c:v>186.02</c:v>
                </c:pt>
              </c:numCache>
            </c:numRef>
          </c:xVal>
          <c:yVal>
            <c:numRef>
              <c:f>Cruise!$N$104:$N$342</c:f>
              <c:numCache>
                <c:formatCode>General</c:formatCode>
                <c:ptCount val="239"/>
                <c:pt idx="0">
                  <c:v>154407</c:v>
                </c:pt>
                <c:pt idx="1">
                  <c:v>225282</c:v>
                </c:pt>
                <c:pt idx="2">
                  <c:v>137276</c:v>
                </c:pt>
                <c:pt idx="3">
                  <c:v>71300</c:v>
                </c:pt>
                <c:pt idx="4">
                  <c:v>225282</c:v>
                </c:pt>
                <c:pt idx="5" formatCode="_-* #,##0\ _€_-;\-* #,##0\ _€_-;_-* &quot;-&quot;\ _€_-;_-@_-">
                  <c:v>225282</c:v>
                </c:pt>
                <c:pt idx="6">
                  <c:v>168666</c:v>
                </c:pt>
                <c:pt idx="9">
                  <c:v>128500</c:v>
                </c:pt>
                <c:pt idx="12">
                  <c:v>128251</c:v>
                </c:pt>
                <c:pt idx="13" formatCode="_-* #,##0\ _€_-;\-* #,##0\ _€_-;_-* &quot;-&quot;\ _€_-;_-@_-">
                  <c:v>128251</c:v>
                </c:pt>
                <c:pt idx="17">
                  <c:v>128048</c:v>
                </c:pt>
                <c:pt idx="18" formatCode="_-* #,##0\ _€_-;\-* #,##0\ _€_-;_-* &quot;-&quot;\ _€_-;_-@_-">
                  <c:v>128048</c:v>
                </c:pt>
                <c:pt idx="19">
                  <c:v>133500</c:v>
                </c:pt>
                <c:pt idx="22">
                  <c:v>125366</c:v>
                </c:pt>
                <c:pt idx="23">
                  <c:v>126000</c:v>
                </c:pt>
                <c:pt idx="24" formatCode="_-* #,##0\ _€_-;\-* #,##0\ _€_-;_-* &quot;-&quot;\ _€_-;_-@_-">
                  <c:v>125366</c:v>
                </c:pt>
                <c:pt idx="25">
                  <c:v>122210</c:v>
                </c:pt>
                <c:pt idx="26" formatCode="_-* #,##0\ _€_-;\-* #,##0\ _€_-;_-* &quot;-&quot;\ _€_-;_-@_-">
                  <c:v>122210</c:v>
                </c:pt>
                <c:pt idx="27">
                  <c:v>2842</c:v>
                </c:pt>
                <c:pt idx="29">
                  <c:v>5750</c:v>
                </c:pt>
                <c:pt idx="30">
                  <c:v>5218</c:v>
                </c:pt>
                <c:pt idx="31">
                  <c:v>5218</c:v>
                </c:pt>
                <c:pt idx="32">
                  <c:v>16927</c:v>
                </c:pt>
                <c:pt idx="35">
                  <c:v>4200</c:v>
                </c:pt>
                <c:pt idx="41">
                  <c:v>129690</c:v>
                </c:pt>
                <c:pt idx="42">
                  <c:v>129690</c:v>
                </c:pt>
                <c:pt idx="43" formatCode="_-* #,##0\ _€_-;\-* #,##0\ _€_-;_-* &quot;-&quot;\ _€_-;_-@_-">
                  <c:v>129750</c:v>
                </c:pt>
                <c:pt idx="44">
                  <c:v>4077</c:v>
                </c:pt>
                <c:pt idx="48">
                  <c:v>137308</c:v>
                </c:pt>
                <c:pt idx="49" formatCode="_-* #,##0\ _€_-;\-* #,##0\ _€_-;_-* &quot;-&quot;\ _€_-;_-@_-">
                  <c:v>137308</c:v>
                </c:pt>
                <c:pt idx="53">
                  <c:v>4077</c:v>
                </c:pt>
                <c:pt idx="55">
                  <c:v>150695</c:v>
                </c:pt>
                <c:pt idx="56">
                  <c:v>226963</c:v>
                </c:pt>
                <c:pt idx="57">
                  <c:v>139072</c:v>
                </c:pt>
                <c:pt idx="59">
                  <c:v>154407</c:v>
                </c:pt>
                <c:pt idx="60" formatCode="_-* #,##0\ _€_-;\-* #,##0\ _€_-;_-* &quot;-&quot;\ _€_-;_-@_-">
                  <c:v>154407</c:v>
                </c:pt>
                <c:pt idx="61">
                  <c:v>30277</c:v>
                </c:pt>
                <c:pt idx="63">
                  <c:v>4200</c:v>
                </c:pt>
                <c:pt idx="65">
                  <c:v>99836</c:v>
                </c:pt>
                <c:pt idx="67">
                  <c:v>3504</c:v>
                </c:pt>
                <c:pt idx="68">
                  <c:v>154407</c:v>
                </c:pt>
                <c:pt idx="69" formatCode="_-* #,##0\ _€_-;\-* #,##0\ _€_-;_-* &quot;-&quot;\ _€_-;_-@_-">
                  <c:v>154407</c:v>
                </c:pt>
                <c:pt idx="70">
                  <c:v>144216</c:v>
                </c:pt>
                <c:pt idx="72">
                  <c:v>66084</c:v>
                </c:pt>
                <c:pt idx="73">
                  <c:v>48075</c:v>
                </c:pt>
                <c:pt idx="74">
                  <c:v>138279</c:v>
                </c:pt>
                <c:pt idx="75">
                  <c:v>99700</c:v>
                </c:pt>
                <c:pt idx="76">
                  <c:v>171598</c:v>
                </c:pt>
                <c:pt idx="77">
                  <c:v>6752</c:v>
                </c:pt>
                <c:pt idx="79">
                  <c:v>8378</c:v>
                </c:pt>
                <c:pt idx="80">
                  <c:v>139400</c:v>
                </c:pt>
                <c:pt idx="81" formatCode="_-* #,##0\ _€_-;\-* #,##0\ _€_-;_-* &quot;-&quot;\ _€_-;_-@_-">
                  <c:v>139072</c:v>
                </c:pt>
                <c:pt idx="82">
                  <c:v>137936</c:v>
                </c:pt>
                <c:pt idx="83">
                  <c:v>139072</c:v>
                </c:pt>
                <c:pt idx="84" formatCode="_-* #,##0\ _€_-;\-* #,##0\ _€_-;_-* &quot;-&quot;\ _€_-;_-@_-">
                  <c:v>139072</c:v>
                </c:pt>
                <c:pt idx="85">
                  <c:v>137936</c:v>
                </c:pt>
                <c:pt idx="86" formatCode="_-* #,##0\ _€_-;\-* #,##0\ _€_-;_-* &quot;-&quot;\ _€_-;_-@_-">
                  <c:v>137936</c:v>
                </c:pt>
                <c:pt idx="87">
                  <c:v>9961</c:v>
                </c:pt>
                <c:pt idx="88">
                  <c:v>6471</c:v>
                </c:pt>
                <c:pt idx="89">
                  <c:v>30277</c:v>
                </c:pt>
                <c:pt idx="90">
                  <c:v>28803</c:v>
                </c:pt>
                <c:pt idx="91">
                  <c:v>138279</c:v>
                </c:pt>
                <c:pt idx="93">
                  <c:v>144017</c:v>
                </c:pt>
                <c:pt idx="94" formatCode="_-* #,##0\ _€_-;\-* #,##0\ _€_-;_-* &quot;-&quot;\ _€_-;_-@_-">
                  <c:v>144017</c:v>
                </c:pt>
                <c:pt idx="95">
                  <c:v>155873</c:v>
                </c:pt>
                <c:pt idx="96">
                  <c:v>165300</c:v>
                </c:pt>
                <c:pt idx="97">
                  <c:v>145655</c:v>
                </c:pt>
                <c:pt idx="98">
                  <c:v>167725</c:v>
                </c:pt>
                <c:pt idx="99">
                  <c:v>8282</c:v>
                </c:pt>
                <c:pt idx="100">
                  <c:v>32346</c:v>
                </c:pt>
                <c:pt idx="101">
                  <c:v>4000</c:v>
                </c:pt>
                <c:pt idx="102">
                  <c:v>167800</c:v>
                </c:pt>
                <c:pt idx="103">
                  <c:v>90901</c:v>
                </c:pt>
                <c:pt idx="104">
                  <c:v>90901</c:v>
                </c:pt>
                <c:pt idx="105">
                  <c:v>148528</c:v>
                </c:pt>
                <c:pt idx="106">
                  <c:v>90049</c:v>
                </c:pt>
                <c:pt idx="107">
                  <c:v>32346</c:v>
                </c:pt>
                <c:pt idx="108">
                  <c:v>139000</c:v>
                </c:pt>
                <c:pt idx="109">
                  <c:v>30277</c:v>
                </c:pt>
                <c:pt idx="110">
                  <c:v>66172</c:v>
                </c:pt>
                <c:pt idx="112">
                  <c:v>141000</c:v>
                </c:pt>
                <c:pt idx="114" formatCode="_-* #,##0\ _€_-;\-* #,##0\ _€_-;_-* &quot;-&quot;\ _€_-;_-@_-">
                  <c:v>139000</c:v>
                </c:pt>
                <c:pt idx="119">
                  <c:v>4253</c:v>
                </c:pt>
                <c:pt idx="120">
                  <c:v>54000</c:v>
                </c:pt>
                <c:pt idx="123">
                  <c:v>28258</c:v>
                </c:pt>
                <c:pt idx="126">
                  <c:v>6130</c:v>
                </c:pt>
                <c:pt idx="127">
                  <c:v>36009</c:v>
                </c:pt>
                <c:pt idx="128">
                  <c:v>32346</c:v>
                </c:pt>
                <c:pt idx="129">
                  <c:v>36009</c:v>
                </c:pt>
                <c:pt idx="130">
                  <c:v>4200</c:v>
                </c:pt>
                <c:pt idx="134">
                  <c:v>47800</c:v>
                </c:pt>
                <c:pt idx="135">
                  <c:v>47800</c:v>
                </c:pt>
                <c:pt idx="137">
                  <c:v>42363</c:v>
                </c:pt>
                <c:pt idx="138">
                  <c:v>137276</c:v>
                </c:pt>
                <c:pt idx="139">
                  <c:v>28258</c:v>
                </c:pt>
                <c:pt idx="140">
                  <c:v>16927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C26-4FE2-BA10-4224FE186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270480"/>
        <c:axId val="621269824"/>
      </c:scatterChart>
      <c:valAx>
        <c:axId val="62127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69824"/>
        <c:crosses val="autoZero"/>
        <c:crossBetween val="midCat"/>
      </c:valAx>
      <c:valAx>
        <c:axId val="62126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GT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70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B vs D</c:v>
          </c:tx>
          <c:spPr>
            <a:ln w="28575">
              <a:noFill/>
            </a:ln>
          </c:spPr>
          <c:marker>
            <c:symbol val="diamond"/>
            <c:size val="2"/>
            <c:spPr>
              <a:solidFill>
                <a:schemeClr val="tx1"/>
              </a:solidFill>
              <a:ln>
                <a:noFill/>
              </a:ln>
            </c:spPr>
          </c:marker>
          <c:trendline>
            <c:trendlineType val="power"/>
            <c:dispRSqr val="0"/>
            <c:dispEq val="0"/>
          </c:trendline>
          <c:xVal>
            <c:numRef>
              <c:f>('Ice Breaker'!$J$312,'Ice Breaker'!$J$316,'Ice Breaker'!$J$141,'Ice Breaker'!$J$143,'Ice Breaker'!$J$145,'Ice Breaker'!$J$149:$J$152,'Ice Breaker'!$J$154:$J$162,'Ice Breaker'!$J$167:$J$170,'Ice Breaker'!$J$172:$J$173,'Ice Breaker'!$J$176:$J$195)</c:f>
              <c:numCache>
                <c:formatCode>General</c:formatCode>
                <c:ptCount val="44"/>
                <c:pt idx="0">
                  <c:v>15</c:v>
                </c:pt>
                <c:pt idx="1">
                  <c:v>21</c:v>
                </c:pt>
                <c:pt idx="2">
                  <c:v>17.7</c:v>
                </c:pt>
                <c:pt idx="3">
                  <c:v>17</c:v>
                </c:pt>
                <c:pt idx="4">
                  <c:v>19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24.4</c:v>
                </c:pt>
                <c:pt idx="9">
                  <c:v>18.600000000000001</c:v>
                </c:pt>
                <c:pt idx="10">
                  <c:v>30.5</c:v>
                </c:pt>
                <c:pt idx="11">
                  <c:v>25.2</c:v>
                </c:pt>
                <c:pt idx="12">
                  <c:v>25.2</c:v>
                </c:pt>
                <c:pt idx="13">
                  <c:v>18.3</c:v>
                </c:pt>
                <c:pt idx="14">
                  <c:v>18.899999999999999</c:v>
                </c:pt>
                <c:pt idx="15">
                  <c:v>28.87</c:v>
                </c:pt>
                <c:pt idx="16">
                  <c:v>20.3</c:v>
                </c:pt>
                <c:pt idx="17">
                  <c:v>31.2</c:v>
                </c:pt>
                <c:pt idx="18">
                  <c:v>14</c:v>
                </c:pt>
                <c:pt idx="19">
                  <c:v>14.5</c:v>
                </c:pt>
                <c:pt idx="20">
                  <c:v>20</c:v>
                </c:pt>
                <c:pt idx="21">
                  <c:v>17.2</c:v>
                </c:pt>
                <c:pt idx="22">
                  <c:v>18</c:v>
                </c:pt>
                <c:pt idx="23">
                  <c:v>19.2</c:v>
                </c:pt>
                <c:pt idx="24">
                  <c:v>20</c:v>
                </c:pt>
                <c:pt idx="25">
                  <c:v>24</c:v>
                </c:pt>
                <c:pt idx="26">
                  <c:v>18</c:v>
                </c:pt>
                <c:pt idx="27">
                  <c:v>27</c:v>
                </c:pt>
                <c:pt idx="28">
                  <c:v>25.6</c:v>
                </c:pt>
                <c:pt idx="29">
                  <c:v>12.2</c:v>
                </c:pt>
                <c:pt idx="30">
                  <c:v>25.6</c:v>
                </c:pt>
                <c:pt idx="31">
                  <c:v>15</c:v>
                </c:pt>
                <c:pt idx="32">
                  <c:v>19.2</c:v>
                </c:pt>
                <c:pt idx="33">
                  <c:v>17</c:v>
                </c:pt>
                <c:pt idx="34">
                  <c:v>24.8</c:v>
                </c:pt>
                <c:pt idx="35">
                  <c:v>25.6</c:v>
                </c:pt>
                <c:pt idx="36">
                  <c:v>19.2</c:v>
                </c:pt>
                <c:pt idx="37">
                  <c:v>15.6</c:v>
                </c:pt>
                <c:pt idx="38">
                  <c:v>17.3</c:v>
                </c:pt>
                <c:pt idx="39">
                  <c:v>18.100000000000001</c:v>
                </c:pt>
                <c:pt idx="40">
                  <c:v>25.6</c:v>
                </c:pt>
                <c:pt idx="41">
                  <c:v>23.8</c:v>
                </c:pt>
                <c:pt idx="42">
                  <c:v>22.5</c:v>
                </c:pt>
                <c:pt idx="43">
                  <c:v>25.6</c:v>
                </c:pt>
              </c:numCache>
            </c:numRef>
          </c:xVal>
          <c:yVal>
            <c:numRef>
              <c:f>('Ice Breaker'!$I$312,'Ice Breaker'!$I$316,'Ice Breaker'!$I$141,'Ice Breaker'!$I$143,'Ice Breaker'!$I$145,'Ice Breaker'!$I$149:$I$152,'Ice Breaker'!$I$154:$I$162,'Ice Breaker'!$I$167:$I$170,'Ice Breaker'!$I$172:$I$173,'Ice Breaker'!$I$176:$I$195)</c:f>
              <c:numCache>
                <c:formatCode>General</c:formatCode>
                <c:ptCount val="44"/>
                <c:pt idx="0">
                  <c:v>6.2</c:v>
                </c:pt>
                <c:pt idx="1">
                  <c:v>13.3</c:v>
                </c:pt>
                <c:pt idx="3">
                  <c:v>8</c:v>
                </c:pt>
                <c:pt idx="4">
                  <c:v>10.5</c:v>
                </c:pt>
                <c:pt idx="5">
                  <c:v>8.5</c:v>
                </c:pt>
                <c:pt idx="6">
                  <c:v>8.5</c:v>
                </c:pt>
                <c:pt idx="7">
                  <c:v>8.5</c:v>
                </c:pt>
                <c:pt idx="10">
                  <c:v>12.3</c:v>
                </c:pt>
                <c:pt idx="11">
                  <c:v>12.5</c:v>
                </c:pt>
                <c:pt idx="12">
                  <c:v>12.5</c:v>
                </c:pt>
                <c:pt idx="13">
                  <c:v>9.1</c:v>
                </c:pt>
                <c:pt idx="14">
                  <c:v>9.6999999999999993</c:v>
                </c:pt>
                <c:pt idx="15">
                  <c:v>15.68</c:v>
                </c:pt>
                <c:pt idx="16">
                  <c:v>10.43</c:v>
                </c:pt>
                <c:pt idx="17">
                  <c:v>12</c:v>
                </c:pt>
                <c:pt idx="20">
                  <c:v>10.5</c:v>
                </c:pt>
                <c:pt idx="24">
                  <c:v>10.5</c:v>
                </c:pt>
                <c:pt idx="26">
                  <c:v>7.5</c:v>
                </c:pt>
                <c:pt idx="28">
                  <c:v>12.3</c:v>
                </c:pt>
                <c:pt idx="30">
                  <c:v>12.3</c:v>
                </c:pt>
                <c:pt idx="33">
                  <c:v>10.01</c:v>
                </c:pt>
                <c:pt idx="35">
                  <c:v>12.3</c:v>
                </c:pt>
                <c:pt idx="38">
                  <c:v>10.01</c:v>
                </c:pt>
                <c:pt idx="40">
                  <c:v>16.7</c:v>
                </c:pt>
                <c:pt idx="43">
                  <c:v>16.7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35B-44A3-B2F7-14005519A71A}"/>
            </c:ext>
          </c:extLst>
        </c:ser>
        <c:ser>
          <c:idx val="1"/>
          <c:order val="1"/>
          <c:spPr>
            <a:ln w="19050">
              <a:noFill/>
            </a:ln>
          </c:spPr>
          <c:xVal>
            <c:numRef>
              <c:f>'Ice Breaker'!$B$3</c:f>
              <c:numCache>
                <c:formatCode>General</c:formatCode>
                <c:ptCount val="1"/>
                <c:pt idx="0">
                  <c:v>20</c:v>
                </c:pt>
              </c:numCache>
            </c:numRef>
          </c:xVal>
          <c:yVal>
            <c:numRef>
              <c:f>'Ice Breaker'!$B$5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35B-44A3-B2F7-14005519A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07392"/>
        <c:axId val="87309312"/>
      </c:scatterChart>
      <c:valAx>
        <c:axId val="87307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B (m)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7309312"/>
        <c:crosses val="autoZero"/>
        <c:crossBetween val="midCat"/>
      </c:valAx>
      <c:valAx>
        <c:axId val="87309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D (m)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73073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L vs T</c:v>
          </c:tx>
          <c:spPr>
            <a:ln w="28575">
              <a:noFill/>
            </a:ln>
          </c:spPr>
          <c:marker>
            <c:symbol val="diamond"/>
            <c:size val="2"/>
            <c:spPr>
              <a:solidFill>
                <a:schemeClr val="tx1"/>
              </a:solidFill>
              <a:ln>
                <a:noFill/>
              </a:ln>
            </c:spPr>
          </c:marker>
          <c:trendline>
            <c:trendlineType val="power"/>
            <c:dispRSqr val="0"/>
            <c:dispEq val="0"/>
          </c:trendline>
          <c:xVal>
            <c:numRef>
              <c:f>'Ice Breaker'!$H$141:$H$211</c:f>
              <c:numCache>
                <c:formatCode>General</c:formatCode>
                <c:ptCount val="71"/>
                <c:pt idx="0">
                  <c:v>73.2</c:v>
                </c:pt>
                <c:pt idx="1">
                  <c:v>103.68</c:v>
                </c:pt>
                <c:pt idx="2">
                  <c:v>64.45</c:v>
                </c:pt>
                <c:pt idx="3">
                  <c:v>84.4</c:v>
                </c:pt>
                <c:pt idx="4">
                  <c:v>84.4</c:v>
                </c:pt>
                <c:pt idx="5">
                  <c:v>93.5</c:v>
                </c:pt>
                <c:pt idx="6">
                  <c:v>88.2</c:v>
                </c:pt>
                <c:pt idx="7">
                  <c:v>89</c:v>
                </c:pt>
                <c:pt idx="8">
                  <c:v>75.2</c:v>
                </c:pt>
                <c:pt idx="9">
                  <c:v>75.2</c:v>
                </c:pt>
                <c:pt idx="10">
                  <c:v>75.2</c:v>
                </c:pt>
                <c:pt idx="11">
                  <c:v>120.9</c:v>
                </c:pt>
                <c:pt idx="12">
                  <c:v>77.900000000000006</c:v>
                </c:pt>
                <c:pt idx="13">
                  <c:v>78.900000000000006</c:v>
                </c:pt>
                <c:pt idx="14">
                  <c:v>130.19999999999999</c:v>
                </c:pt>
                <c:pt idx="15">
                  <c:v>96.7</c:v>
                </c:pt>
                <c:pt idx="16">
                  <c:v>96.7</c:v>
                </c:pt>
                <c:pt idx="17">
                  <c:v>85.3</c:v>
                </c:pt>
                <c:pt idx="18">
                  <c:v>90</c:v>
                </c:pt>
                <c:pt idx="19">
                  <c:v>136.32</c:v>
                </c:pt>
                <c:pt idx="20">
                  <c:v>88.4</c:v>
                </c:pt>
                <c:pt idx="21">
                  <c:v>100.2</c:v>
                </c:pt>
                <c:pt idx="22">
                  <c:v>139</c:v>
                </c:pt>
                <c:pt idx="23">
                  <c:v>94.1</c:v>
                </c:pt>
                <c:pt idx="24">
                  <c:v>90</c:v>
                </c:pt>
                <c:pt idx="25">
                  <c:v>90</c:v>
                </c:pt>
                <c:pt idx="26">
                  <c:v>64.7</c:v>
                </c:pt>
                <c:pt idx="27">
                  <c:v>60.9</c:v>
                </c:pt>
                <c:pt idx="28">
                  <c:v>78.5</c:v>
                </c:pt>
                <c:pt idx="29">
                  <c:v>80.599999999999994</c:v>
                </c:pt>
                <c:pt idx="30">
                  <c:v>80.599999999999994</c:v>
                </c:pt>
                <c:pt idx="31">
                  <c:v>73</c:v>
                </c:pt>
                <c:pt idx="32">
                  <c:v>88.9</c:v>
                </c:pt>
                <c:pt idx="33">
                  <c:v>78.5</c:v>
                </c:pt>
                <c:pt idx="34">
                  <c:v>75.5</c:v>
                </c:pt>
                <c:pt idx="35">
                  <c:v>95.52</c:v>
                </c:pt>
                <c:pt idx="36">
                  <c:v>109.2</c:v>
                </c:pt>
                <c:pt idx="37">
                  <c:v>74.3</c:v>
                </c:pt>
                <c:pt idx="38">
                  <c:v>124</c:v>
                </c:pt>
                <c:pt idx="39">
                  <c:v>121.3</c:v>
                </c:pt>
                <c:pt idx="40">
                  <c:v>48.6</c:v>
                </c:pt>
                <c:pt idx="41">
                  <c:v>121.3</c:v>
                </c:pt>
                <c:pt idx="42">
                  <c:v>57.6</c:v>
                </c:pt>
                <c:pt idx="43">
                  <c:v>88.9</c:v>
                </c:pt>
                <c:pt idx="44">
                  <c:v>78.900000000000006</c:v>
                </c:pt>
                <c:pt idx="45">
                  <c:v>113.4</c:v>
                </c:pt>
                <c:pt idx="46">
                  <c:v>125.8</c:v>
                </c:pt>
                <c:pt idx="47">
                  <c:v>88.9</c:v>
                </c:pt>
                <c:pt idx="48">
                  <c:v>94</c:v>
                </c:pt>
                <c:pt idx="49">
                  <c:v>84.2</c:v>
                </c:pt>
                <c:pt idx="50">
                  <c:v>112</c:v>
                </c:pt>
                <c:pt idx="51">
                  <c:v>130</c:v>
                </c:pt>
                <c:pt idx="52">
                  <c:v>107.3</c:v>
                </c:pt>
                <c:pt idx="53">
                  <c:v>96</c:v>
                </c:pt>
                <c:pt idx="54">
                  <c:v>130</c:v>
                </c:pt>
                <c:pt idx="55">
                  <c:v>96</c:v>
                </c:pt>
                <c:pt idx="56">
                  <c:v>130</c:v>
                </c:pt>
                <c:pt idx="57">
                  <c:v>107.3</c:v>
                </c:pt>
                <c:pt idx="58">
                  <c:v>62</c:v>
                </c:pt>
                <c:pt idx="59">
                  <c:v>79.5</c:v>
                </c:pt>
                <c:pt idx="60">
                  <c:v>62</c:v>
                </c:pt>
                <c:pt idx="61">
                  <c:v>89.2</c:v>
                </c:pt>
                <c:pt idx="62">
                  <c:v>101.9</c:v>
                </c:pt>
                <c:pt idx="63">
                  <c:v>68</c:v>
                </c:pt>
                <c:pt idx="64">
                  <c:v>68</c:v>
                </c:pt>
                <c:pt idx="65">
                  <c:v>62</c:v>
                </c:pt>
                <c:pt idx="66">
                  <c:v>62</c:v>
                </c:pt>
                <c:pt idx="67">
                  <c:v>79.5</c:v>
                </c:pt>
                <c:pt idx="68">
                  <c:v>82</c:v>
                </c:pt>
                <c:pt idx="69">
                  <c:v>68.3</c:v>
                </c:pt>
                <c:pt idx="70">
                  <c:v>83.5</c:v>
                </c:pt>
              </c:numCache>
            </c:numRef>
          </c:xVal>
          <c:yVal>
            <c:numRef>
              <c:f>'Ice Breaker'!$K$141:$K$211</c:f>
              <c:numCache>
                <c:formatCode>General</c:formatCode>
                <c:ptCount val="71"/>
                <c:pt idx="0">
                  <c:v>4.9000000000000004</c:v>
                </c:pt>
                <c:pt idx="1">
                  <c:v>8.5</c:v>
                </c:pt>
                <c:pt idx="2">
                  <c:v>6.5</c:v>
                </c:pt>
                <c:pt idx="3">
                  <c:v>8</c:v>
                </c:pt>
                <c:pt idx="4">
                  <c:v>8</c:v>
                </c:pt>
                <c:pt idx="5">
                  <c:v>7.5</c:v>
                </c:pt>
                <c:pt idx="6">
                  <c:v>6.5</c:v>
                </c:pt>
                <c:pt idx="7">
                  <c:v>6.5</c:v>
                </c:pt>
                <c:pt idx="8">
                  <c:v>7.2</c:v>
                </c:pt>
                <c:pt idx="9">
                  <c:v>7.2</c:v>
                </c:pt>
                <c:pt idx="10">
                  <c:v>7.2</c:v>
                </c:pt>
                <c:pt idx="11">
                  <c:v>8.5</c:v>
                </c:pt>
                <c:pt idx="12">
                  <c:v>7.2</c:v>
                </c:pt>
                <c:pt idx="13">
                  <c:v>5.8</c:v>
                </c:pt>
                <c:pt idx="14">
                  <c:v>8.5</c:v>
                </c:pt>
                <c:pt idx="15">
                  <c:v>8.4</c:v>
                </c:pt>
                <c:pt idx="16">
                  <c:v>8.4</c:v>
                </c:pt>
                <c:pt idx="17">
                  <c:v>6.8</c:v>
                </c:pt>
                <c:pt idx="18">
                  <c:v>6.4</c:v>
                </c:pt>
                <c:pt idx="19">
                  <c:v>9</c:v>
                </c:pt>
                <c:pt idx="20">
                  <c:v>7.9</c:v>
                </c:pt>
                <c:pt idx="21">
                  <c:v>8.5</c:v>
                </c:pt>
                <c:pt idx="22">
                  <c:v>8.5</c:v>
                </c:pt>
                <c:pt idx="23">
                  <c:v>7.2</c:v>
                </c:pt>
                <c:pt idx="24">
                  <c:v>7.3</c:v>
                </c:pt>
                <c:pt idx="25">
                  <c:v>7.3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8.3000000000000007</c:v>
                </c:pt>
                <c:pt idx="30">
                  <c:v>8</c:v>
                </c:pt>
                <c:pt idx="31">
                  <c:v>7.5</c:v>
                </c:pt>
                <c:pt idx="32">
                  <c:v>7.2</c:v>
                </c:pt>
                <c:pt idx="33">
                  <c:v>6</c:v>
                </c:pt>
                <c:pt idx="34">
                  <c:v>7.5</c:v>
                </c:pt>
                <c:pt idx="35">
                  <c:v>6</c:v>
                </c:pt>
                <c:pt idx="36">
                  <c:v>11.2</c:v>
                </c:pt>
                <c:pt idx="37">
                  <c:v>5</c:v>
                </c:pt>
                <c:pt idx="38">
                  <c:v>9.1999999999999993</c:v>
                </c:pt>
                <c:pt idx="39">
                  <c:v>8.5</c:v>
                </c:pt>
                <c:pt idx="40">
                  <c:v>3.8</c:v>
                </c:pt>
                <c:pt idx="41">
                  <c:v>8.5</c:v>
                </c:pt>
                <c:pt idx="42">
                  <c:v>6</c:v>
                </c:pt>
                <c:pt idx="43">
                  <c:v>7.2</c:v>
                </c:pt>
                <c:pt idx="44">
                  <c:v>8.5350000000000001</c:v>
                </c:pt>
                <c:pt idx="45">
                  <c:v>9.5</c:v>
                </c:pt>
                <c:pt idx="46">
                  <c:v>8.5</c:v>
                </c:pt>
                <c:pt idx="47">
                  <c:v>7.2</c:v>
                </c:pt>
                <c:pt idx="48">
                  <c:v>5.5</c:v>
                </c:pt>
                <c:pt idx="49">
                  <c:v>8.4</c:v>
                </c:pt>
                <c:pt idx="50">
                  <c:v>6.05</c:v>
                </c:pt>
                <c:pt idx="51">
                  <c:v>11</c:v>
                </c:pt>
                <c:pt idx="52">
                  <c:v>8.5</c:v>
                </c:pt>
                <c:pt idx="53">
                  <c:v>7.3</c:v>
                </c:pt>
                <c:pt idx="54">
                  <c:v>11</c:v>
                </c:pt>
                <c:pt idx="55">
                  <c:v>7.3</c:v>
                </c:pt>
                <c:pt idx="56">
                  <c:v>11</c:v>
                </c:pt>
                <c:pt idx="57">
                  <c:v>8.5</c:v>
                </c:pt>
                <c:pt idx="58">
                  <c:v>6.2</c:v>
                </c:pt>
                <c:pt idx="59">
                  <c:v>6.2</c:v>
                </c:pt>
                <c:pt idx="60">
                  <c:v>6.2</c:v>
                </c:pt>
                <c:pt idx="61">
                  <c:v>6.3</c:v>
                </c:pt>
                <c:pt idx="62">
                  <c:v>9.9</c:v>
                </c:pt>
                <c:pt idx="63">
                  <c:v>6</c:v>
                </c:pt>
                <c:pt idx="64">
                  <c:v>6</c:v>
                </c:pt>
                <c:pt idx="65">
                  <c:v>6.2</c:v>
                </c:pt>
                <c:pt idx="66">
                  <c:v>6.2</c:v>
                </c:pt>
                <c:pt idx="67">
                  <c:v>6.2</c:v>
                </c:pt>
                <c:pt idx="68">
                  <c:v>7.4</c:v>
                </c:pt>
                <c:pt idx="69">
                  <c:v>5.8</c:v>
                </c:pt>
                <c:pt idx="7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DCA-4161-9E4B-3DE19CA0CE5A}"/>
            </c:ext>
          </c:extLst>
        </c:ser>
        <c:ser>
          <c:idx val="1"/>
          <c:order val="1"/>
          <c:spPr>
            <a:ln w="19050">
              <a:noFill/>
            </a:ln>
          </c:spPr>
          <c:xVal>
            <c:numRef>
              <c:f>'Ice Breaker'!$B$2</c:f>
              <c:numCache>
                <c:formatCode>General</c:formatCode>
                <c:ptCount val="1"/>
                <c:pt idx="0">
                  <c:v>100</c:v>
                </c:pt>
              </c:numCache>
            </c:numRef>
          </c:xVal>
          <c:yVal>
            <c:numRef>
              <c:f>'Ice Breaker'!$B$4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DCA-4161-9E4B-3DE19CA0C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668928"/>
        <c:axId val="82679296"/>
      </c:scatterChart>
      <c:valAx>
        <c:axId val="82668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L</a:t>
                </a:r>
                <a:r>
                  <a:rPr lang="fi-FI" baseline="0"/>
                  <a:t> (m)</a:t>
                </a:r>
                <a:endParaRPr lang="fi-FI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2679296"/>
        <c:crosses val="autoZero"/>
        <c:crossBetween val="midCat"/>
      </c:valAx>
      <c:valAx>
        <c:axId val="826792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T</a:t>
                </a:r>
                <a:r>
                  <a:rPr lang="fi-FI" baseline="0"/>
                  <a:t> (m)</a:t>
                </a:r>
                <a:endParaRPr lang="fi-FI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26689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Disp vs P</c:v>
          </c:tx>
          <c:spPr>
            <a:ln w="28575">
              <a:noFill/>
            </a:ln>
          </c:spPr>
          <c:marker>
            <c:symbol val="diamond"/>
            <c:size val="2"/>
            <c:spPr>
              <a:solidFill>
                <a:schemeClr val="tx1"/>
              </a:solidFill>
              <a:ln>
                <a:noFill/>
              </a:ln>
            </c:spPr>
          </c:marker>
          <c:trendline>
            <c:trendlineType val="poly"/>
            <c:order val="2"/>
            <c:dispRSqr val="0"/>
            <c:dispEq val="0"/>
          </c:trendline>
          <c:xVal>
            <c:numRef>
              <c:f>'Ice Breaker'!$M$141:$M$195</c:f>
              <c:numCache>
                <c:formatCode>General</c:formatCode>
                <c:ptCount val="55"/>
                <c:pt idx="0">
                  <c:v>3500</c:v>
                </c:pt>
                <c:pt idx="1">
                  <c:v>14300</c:v>
                </c:pt>
                <c:pt idx="2">
                  <c:v>4566</c:v>
                </c:pt>
                <c:pt idx="3">
                  <c:v>9672</c:v>
                </c:pt>
                <c:pt idx="4">
                  <c:v>9672</c:v>
                </c:pt>
                <c:pt idx="5">
                  <c:v>9980</c:v>
                </c:pt>
                <c:pt idx="7">
                  <c:v>6375</c:v>
                </c:pt>
                <c:pt idx="8">
                  <c:v>7000</c:v>
                </c:pt>
                <c:pt idx="9">
                  <c:v>7000</c:v>
                </c:pt>
                <c:pt idx="10">
                  <c:v>7000</c:v>
                </c:pt>
                <c:pt idx="11">
                  <c:v>16000</c:v>
                </c:pt>
                <c:pt idx="12">
                  <c:v>8730</c:v>
                </c:pt>
                <c:pt idx="14">
                  <c:v>17281</c:v>
                </c:pt>
                <c:pt idx="15">
                  <c:v>12800</c:v>
                </c:pt>
                <c:pt idx="16">
                  <c:v>12800</c:v>
                </c:pt>
                <c:pt idx="17">
                  <c:v>6909</c:v>
                </c:pt>
                <c:pt idx="18">
                  <c:v>7767</c:v>
                </c:pt>
                <c:pt idx="19">
                  <c:v>21100</c:v>
                </c:pt>
                <c:pt idx="20">
                  <c:v>8158</c:v>
                </c:pt>
                <c:pt idx="21">
                  <c:v>13000</c:v>
                </c:pt>
                <c:pt idx="22">
                  <c:v>16336</c:v>
                </c:pt>
                <c:pt idx="23">
                  <c:v>6166</c:v>
                </c:pt>
                <c:pt idx="24">
                  <c:v>9130</c:v>
                </c:pt>
                <c:pt idx="25">
                  <c:v>9130</c:v>
                </c:pt>
                <c:pt idx="28">
                  <c:v>6583</c:v>
                </c:pt>
                <c:pt idx="29">
                  <c:v>4234</c:v>
                </c:pt>
                <c:pt idx="30">
                  <c:v>7077</c:v>
                </c:pt>
                <c:pt idx="32">
                  <c:v>5910</c:v>
                </c:pt>
                <c:pt idx="33">
                  <c:v>6210</c:v>
                </c:pt>
                <c:pt idx="34">
                  <c:v>5597</c:v>
                </c:pt>
                <c:pt idx="35">
                  <c:v>8154</c:v>
                </c:pt>
                <c:pt idx="36">
                  <c:v>17300</c:v>
                </c:pt>
                <c:pt idx="38">
                  <c:v>11786</c:v>
                </c:pt>
                <c:pt idx="39">
                  <c:v>14917</c:v>
                </c:pt>
                <c:pt idx="41">
                  <c:v>14917</c:v>
                </c:pt>
                <c:pt idx="43">
                  <c:v>5910</c:v>
                </c:pt>
                <c:pt idx="44">
                  <c:v>6921</c:v>
                </c:pt>
                <c:pt idx="45">
                  <c:v>14899</c:v>
                </c:pt>
                <c:pt idx="46">
                  <c:v>16017</c:v>
                </c:pt>
                <c:pt idx="47">
                  <c:v>5910</c:v>
                </c:pt>
                <c:pt idx="48">
                  <c:v>4100</c:v>
                </c:pt>
                <c:pt idx="50">
                  <c:v>13687</c:v>
                </c:pt>
                <c:pt idx="51">
                  <c:v>20247</c:v>
                </c:pt>
                <c:pt idx="52">
                  <c:v>13194</c:v>
                </c:pt>
                <c:pt idx="53">
                  <c:v>7525</c:v>
                </c:pt>
                <c:pt idx="54">
                  <c:v>20247</c:v>
                </c:pt>
              </c:numCache>
            </c:numRef>
          </c:xVal>
          <c:yVal>
            <c:numRef>
              <c:f>'Ice Breaker'!$U$141:$U$195</c:f>
              <c:numCache>
                <c:formatCode>General</c:formatCode>
                <c:ptCount val="55"/>
                <c:pt idx="0">
                  <c:v>6.7</c:v>
                </c:pt>
                <c:pt idx="1">
                  <c:v>16.399999999999999</c:v>
                </c:pt>
                <c:pt idx="2">
                  <c:v>10</c:v>
                </c:pt>
                <c:pt idx="3">
                  <c:v>15</c:v>
                </c:pt>
                <c:pt idx="4">
                  <c:v>15</c:v>
                </c:pt>
                <c:pt idx="5">
                  <c:v>13</c:v>
                </c:pt>
                <c:pt idx="6">
                  <c:v>3.8</c:v>
                </c:pt>
                <c:pt idx="7">
                  <c:v>10</c:v>
                </c:pt>
                <c:pt idx="8">
                  <c:v>13.4</c:v>
                </c:pt>
                <c:pt idx="9">
                  <c:v>13.4</c:v>
                </c:pt>
                <c:pt idx="10">
                  <c:v>13.4</c:v>
                </c:pt>
                <c:pt idx="11">
                  <c:v>22.4</c:v>
                </c:pt>
                <c:pt idx="12">
                  <c:v>10</c:v>
                </c:pt>
                <c:pt idx="13">
                  <c:v>5.8</c:v>
                </c:pt>
                <c:pt idx="14">
                  <c:v>16.2</c:v>
                </c:pt>
                <c:pt idx="15">
                  <c:v>15</c:v>
                </c:pt>
                <c:pt idx="16">
                  <c:v>15</c:v>
                </c:pt>
                <c:pt idx="17">
                  <c:v>9.9</c:v>
                </c:pt>
                <c:pt idx="18">
                  <c:v>6.3</c:v>
                </c:pt>
                <c:pt idx="19">
                  <c:v>36.799999999999997</c:v>
                </c:pt>
                <c:pt idx="20">
                  <c:v>10</c:v>
                </c:pt>
                <c:pt idx="21">
                  <c:v>17.7</c:v>
                </c:pt>
                <c:pt idx="22">
                  <c:v>13.9</c:v>
                </c:pt>
                <c:pt idx="23">
                  <c:v>12</c:v>
                </c:pt>
                <c:pt idx="24">
                  <c:v>15</c:v>
                </c:pt>
                <c:pt idx="25">
                  <c:v>15</c:v>
                </c:pt>
                <c:pt idx="26">
                  <c:v>5.3</c:v>
                </c:pt>
                <c:pt idx="27">
                  <c:v>9</c:v>
                </c:pt>
                <c:pt idx="28">
                  <c:v>7</c:v>
                </c:pt>
                <c:pt idx="29">
                  <c:v>17.7</c:v>
                </c:pt>
                <c:pt idx="30">
                  <c:v>17.100000000000001</c:v>
                </c:pt>
                <c:pt idx="31">
                  <c:v>7.1</c:v>
                </c:pt>
                <c:pt idx="32">
                  <c:v>10</c:v>
                </c:pt>
                <c:pt idx="33">
                  <c:v>7</c:v>
                </c:pt>
                <c:pt idx="34">
                  <c:v>11.2</c:v>
                </c:pt>
                <c:pt idx="35">
                  <c:v>7</c:v>
                </c:pt>
                <c:pt idx="36">
                  <c:v>14</c:v>
                </c:pt>
                <c:pt idx="37">
                  <c:v>7.3</c:v>
                </c:pt>
                <c:pt idx="38">
                  <c:v>22.1</c:v>
                </c:pt>
                <c:pt idx="39">
                  <c:v>16.2</c:v>
                </c:pt>
                <c:pt idx="40">
                  <c:v>4.4000000000000004</c:v>
                </c:pt>
                <c:pt idx="41">
                  <c:v>16.2</c:v>
                </c:pt>
                <c:pt idx="42">
                  <c:v>8.6999999999999993</c:v>
                </c:pt>
                <c:pt idx="43">
                  <c:v>10</c:v>
                </c:pt>
                <c:pt idx="44">
                  <c:v>12.5</c:v>
                </c:pt>
                <c:pt idx="45">
                  <c:v>11.95</c:v>
                </c:pt>
                <c:pt idx="46">
                  <c:v>16.2</c:v>
                </c:pt>
                <c:pt idx="47">
                  <c:v>10</c:v>
                </c:pt>
                <c:pt idx="48">
                  <c:v>11.5</c:v>
                </c:pt>
                <c:pt idx="49">
                  <c:v>3.3</c:v>
                </c:pt>
                <c:pt idx="50">
                  <c:v>4.4800000000000004</c:v>
                </c:pt>
                <c:pt idx="51">
                  <c:v>26.5</c:v>
                </c:pt>
                <c:pt idx="52">
                  <c:v>44.8</c:v>
                </c:pt>
                <c:pt idx="53">
                  <c:v>16.2</c:v>
                </c:pt>
                <c:pt idx="54">
                  <c:v>26.5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9F-4BE9-9F39-F6CD3EE38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918080"/>
        <c:axId val="89932544"/>
      </c:scatterChart>
      <c:valAx>
        <c:axId val="89918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Displacement</a:t>
                </a:r>
                <a:r>
                  <a:rPr lang="fi-FI" baseline="0"/>
                  <a:t> (t)</a:t>
                </a:r>
                <a:endParaRPr lang="fi-FI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9932544"/>
        <c:crosses val="autoZero"/>
        <c:crossBetween val="midCat"/>
      </c:valAx>
      <c:valAx>
        <c:axId val="89932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P</a:t>
                </a:r>
                <a:r>
                  <a:rPr lang="fi-FI" baseline="0"/>
                  <a:t> (MW)</a:t>
                </a:r>
                <a:endParaRPr lang="fi-FI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99180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2"/>
            <c:spPr>
              <a:solidFill>
                <a:schemeClr val="tx1"/>
              </a:solidFill>
              <a:ln>
                <a:noFill/>
              </a:ln>
            </c:spPr>
          </c:marker>
          <c:trendline>
            <c:trendlineType val="linear"/>
            <c:dispRSqr val="0"/>
            <c:dispEq val="0"/>
          </c:trendline>
          <c:xVal>
            <c:numRef>
              <c:f>'Ice Breaker'!$N$142:$N$216</c:f>
              <c:numCache>
                <c:formatCode>General</c:formatCode>
                <c:ptCount val="75"/>
                <c:pt idx="0">
                  <c:v>7243</c:v>
                </c:pt>
                <c:pt idx="1">
                  <c:v>1323</c:v>
                </c:pt>
                <c:pt idx="2">
                  <c:v>3949</c:v>
                </c:pt>
                <c:pt idx="3">
                  <c:v>3949</c:v>
                </c:pt>
                <c:pt idx="4">
                  <c:v>4298</c:v>
                </c:pt>
                <c:pt idx="7">
                  <c:v>3000</c:v>
                </c:pt>
                <c:pt idx="8">
                  <c:v>3000</c:v>
                </c:pt>
                <c:pt idx="9">
                  <c:v>3000</c:v>
                </c:pt>
                <c:pt idx="11">
                  <c:v>2850</c:v>
                </c:pt>
                <c:pt idx="13">
                  <c:v>5138</c:v>
                </c:pt>
                <c:pt idx="14">
                  <c:v>4800</c:v>
                </c:pt>
                <c:pt idx="15">
                  <c:v>4800</c:v>
                </c:pt>
                <c:pt idx="16">
                  <c:v>2032</c:v>
                </c:pt>
                <c:pt idx="17">
                  <c:v>2917</c:v>
                </c:pt>
                <c:pt idx="18">
                  <c:v>3550</c:v>
                </c:pt>
                <c:pt idx="19">
                  <c:v>3911</c:v>
                </c:pt>
                <c:pt idx="20">
                  <c:v>4906</c:v>
                </c:pt>
                <c:pt idx="21">
                  <c:v>7200</c:v>
                </c:pt>
                <c:pt idx="26">
                  <c:v>1477</c:v>
                </c:pt>
                <c:pt idx="27">
                  <c:v>2281</c:v>
                </c:pt>
                <c:pt idx="29">
                  <c:v>2113</c:v>
                </c:pt>
                <c:pt idx="30">
                  <c:v>7991</c:v>
                </c:pt>
                <c:pt idx="32">
                  <c:v>1909</c:v>
                </c:pt>
                <c:pt idx="33">
                  <c:v>1615</c:v>
                </c:pt>
                <c:pt idx="34">
                  <c:v>2920</c:v>
                </c:pt>
                <c:pt idx="36">
                  <c:v>2734</c:v>
                </c:pt>
                <c:pt idx="38">
                  <c:v>4418</c:v>
                </c:pt>
                <c:pt idx="39">
                  <c:v>266</c:v>
                </c:pt>
                <c:pt idx="40">
                  <c:v>4515</c:v>
                </c:pt>
                <c:pt idx="43">
                  <c:v>2066</c:v>
                </c:pt>
                <c:pt idx="44">
                  <c:v>4600</c:v>
                </c:pt>
                <c:pt idx="45">
                  <c:v>4836</c:v>
                </c:pt>
                <c:pt idx="48">
                  <c:v>2066</c:v>
                </c:pt>
                <c:pt idx="50">
                  <c:v>7560</c:v>
                </c:pt>
                <c:pt idx="53">
                  <c:v>7560</c:v>
                </c:pt>
                <c:pt idx="55">
                  <c:v>7560</c:v>
                </c:pt>
                <c:pt idx="57">
                  <c:v>1092</c:v>
                </c:pt>
                <c:pt idx="58">
                  <c:v>1024</c:v>
                </c:pt>
                <c:pt idx="59">
                  <c:v>1092</c:v>
                </c:pt>
                <c:pt idx="61">
                  <c:v>4640</c:v>
                </c:pt>
                <c:pt idx="64">
                  <c:v>1092</c:v>
                </c:pt>
                <c:pt idx="65">
                  <c:v>1092</c:v>
                </c:pt>
                <c:pt idx="66">
                  <c:v>1024</c:v>
                </c:pt>
                <c:pt idx="67">
                  <c:v>1585</c:v>
                </c:pt>
                <c:pt idx="68">
                  <c:v>733</c:v>
                </c:pt>
                <c:pt idx="69">
                  <c:v>4486</c:v>
                </c:pt>
              </c:numCache>
            </c:numRef>
          </c:xVal>
          <c:yVal>
            <c:numRef>
              <c:f>'Ice Breaker'!$Y$142:$Y$216</c:f>
              <c:numCache>
                <c:formatCode>General</c:formatCode>
                <c:ptCount val="75"/>
                <c:pt idx="0">
                  <c:v>4.3068286938289999</c:v>
                </c:pt>
                <c:pt idx="1">
                  <c:v>3.9169880004261546</c:v>
                </c:pt>
                <c:pt idx="2">
                  <c:v>3.9940329108561619</c:v>
                </c:pt>
                <c:pt idx="3">
                  <c:v>3.9940329108561619</c:v>
                </c:pt>
                <c:pt idx="4">
                  <c:v>4.3786750737773499</c:v>
                </c:pt>
                <c:pt idx="6">
                  <c:v>4.8395453672006417</c:v>
                </c:pt>
                <c:pt idx="7">
                  <c:v>3.9636300809479978</c:v>
                </c:pt>
                <c:pt idx="8">
                  <c:v>3.9636300809479978</c:v>
                </c:pt>
                <c:pt idx="9">
                  <c:v>3.9636300809479978</c:v>
                </c:pt>
                <c:pt idx="10">
                  <c:v>4.8375737065868369</c:v>
                </c:pt>
                <c:pt idx="11">
                  <c:v>3.8145267508547507</c:v>
                </c:pt>
                <c:pt idx="13">
                  <c:v>5.0776486839734707</c:v>
                </c:pt>
                <c:pt idx="14">
                  <c:v>4.1680325893126273</c:v>
                </c:pt>
                <c:pt idx="15">
                  <c:v>4.1680325893126273</c:v>
                </c:pt>
                <c:pt idx="16">
                  <c:v>4.5156324859132901</c:v>
                </c:pt>
                <c:pt idx="17">
                  <c:v>4.5821154725402664</c:v>
                </c:pt>
                <c:pt idx="18">
                  <c:v>4.9740106878535135</c:v>
                </c:pt>
                <c:pt idx="19">
                  <c:v>4.4275722125517527</c:v>
                </c:pt>
                <c:pt idx="20">
                  <c:v>4.2966293678233312</c:v>
                </c:pt>
                <c:pt idx="21">
                  <c:v>5.5234129495663389</c:v>
                </c:pt>
                <c:pt idx="22">
                  <c:v>5.1740394823009366</c:v>
                </c:pt>
                <c:pt idx="23">
                  <c:v>4.341703937253687</c:v>
                </c:pt>
                <c:pt idx="24">
                  <c:v>4.341703937253687</c:v>
                </c:pt>
                <c:pt idx="27">
                  <c:v>4.223148246276204</c:v>
                </c:pt>
                <c:pt idx="28">
                  <c:v>5.0233416009471314</c:v>
                </c:pt>
                <c:pt idx="29">
                  <c:v>4.2327887904725854</c:v>
                </c:pt>
                <c:pt idx="31">
                  <c:v>4.9577035682419002</c:v>
                </c:pt>
                <c:pt idx="32">
                  <c:v>4.3060633204846734</c:v>
                </c:pt>
                <c:pt idx="33">
                  <c:v>4.2874901744729526</c:v>
                </c:pt>
                <c:pt idx="34">
                  <c:v>4.7849642776030707</c:v>
                </c:pt>
                <c:pt idx="35">
                  <c:v>4.2571134668790522</c:v>
                </c:pt>
                <c:pt idx="37">
                  <c:v>5.4938166517761724</c:v>
                </c:pt>
                <c:pt idx="38">
                  <c:v>4.9683051197400667</c:v>
                </c:pt>
                <c:pt idx="40">
                  <c:v>4.9683051197400667</c:v>
                </c:pt>
                <c:pt idx="42">
                  <c:v>4.9577035682419002</c:v>
                </c:pt>
                <c:pt idx="43">
                  <c:v>4.1744123049012094</c:v>
                </c:pt>
                <c:pt idx="44">
                  <c:v>4.6466001592340831</c:v>
                </c:pt>
                <c:pt idx="45">
                  <c:v>5.0318560030384454</c:v>
                </c:pt>
                <c:pt idx="46">
                  <c:v>4.9577035682419002</c:v>
                </c:pt>
                <c:pt idx="47">
                  <c:v>5.9216289345059057</c:v>
                </c:pt>
                <c:pt idx="50">
                  <c:v>4.8091067027291672</c:v>
                </c:pt>
                <c:pt idx="51">
                  <c:v>4.5784188102107564</c:v>
                </c:pt>
                <c:pt idx="52">
                  <c:v>4.9394321035314874</c:v>
                </c:pt>
                <c:pt idx="53">
                  <c:v>4.8091067027291672</c:v>
                </c:pt>
                <c:pt idx="54">
                  <c:v>4.9394321035314874</c:v>
                </c:pt>
                <c:pt idx="55">
                  <c:v>4.8091067027291672</c:v>
                </c:pt>
                <c:pt idx="56">
                  <c:v>4.5784188102107564</c:v>
                </c:pt>
                <c:pt idx="57">
                  <c:v>4.2658023615288849</c:v>
                </c:pt>
                <c:pt idx="58">
                  <c:v>4.5968659844632338</c:v>
                </c:pt>
                <c:pt idx="59">
                  <c:v>4.2658023615288849</c:v>
                </c:pt>
                <c:pt idx="61">
                  <c:v>4.1364212259494479</c:v>
                </c:pt>
                <c:pt idx="62">
                  <c:v>4.4388558028173479</c:v>
                </c:pt>
                <c:pt idx="63">
                  <c:v>4.4388558028173479</c:v>
                </c:pt>
                <c:pt idx="64">
                  <c:v>4.2658023615288849</c:v>
                </c:pt>
                <c:pt idx="65">
                  <c:v>4.2658023615288849</c:v>
                </c:pt>
                <c:pt idx="66">
                  <c:v>4.5968659844632338</c:v>
                </c:pt>
                <c:pt idx="68">
                  <c:v>4.494504775455276</c:v>
                </c:pt>
                <c:pt idx="69">
                  <c:v>4.8567190150138515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44-4C76-A0B3-95037BC42379}"/>
            </c:ext>
          </c:extLst>
        </c:ser>
        <c:ser>
          <c:idx val="1"/>
          <c:order val="1"/>
          <c:spPr>
            <a:ln w="19050">
              <a:noFill/>
            </a:ln>
          </c:spPr>
          <c:xVal>
            <c:numRef>
              <c:f>'Ice Breaker'!$B$6</c:f>
              <c:numCache>
                <c:formatCode>General</c:formatCode>
                <c:ptCount val="1"/>
                <c:pt idx="0">
                  <c:v>2000</c:v>
                </c:pt>
              </c:numCache>
            </c:numRef>
          </c:xVal>
          <c:yVal>
            <c:numRef>
              <c:f>'Ice Breaker'!$B$13</c:f>
              <c:numCache>
                <c:formatCode>General</c:formatCode>
                <c:ptCount val="1"/>
                <c:pt idx="0">
                  <c:v>5.1087295492903531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844-4C76-A0B3-95037BC42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768832"/>
        <c:axId val="81770752"/>
      </c:scatterChart>
      <c:valAx>
        <c:axId val="81768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DWT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770752"/>
        <c:crosses val="autoZero"/>
        <c:crossBetween val="midCat"/>
      </c:valAx>
      <c:valAx>
        <c:axId val="81770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 baseline="0"/>
                  <a:t>L/(V^(1/3))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7688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2"/>
            <c:spPr>
              <a:solidFill>
                <a:schemeClr val="tx1"/>
              </a:solidFill>
              <a:ln>
                <a:noFill/>
              </a:ln>
            </c:spPr>
          </c:marker>
          <c:trendline>
            <c:trendlineType val="linear"/>
            <c:dispRSqr val="0"/>
            <c:dispEq val="0"/>
          </c:trendline>
          <c:xVal>
            <c:numRef>
              <c:f>'Ice Breaker'!$P$142:$P$216</c:f>
              <c:numCache>
                <c:formatCode>General</c:formatCode>
                <c:ptCount val="75"/>
                <c:pt idx="0">
                  <c:v>3.700214132762313</c:v>
                </c:pt>
                <c:pt idx="1">
                  <c:v>3.7911764705882356</c:v>
                </c:pt>
                <c:pt idx="2">
                  <c:v>4.4421052631578952</c:v>
                </c:pt>
                <c:pt idx="3">
                  <c:v>4.4421052631578952</c:v>
                </c:pt>
                <c:pt idx="4">
                  <c:v>4.4103773584905666</c:v>
                </c:pt>
                <c:pt idx="5">
                  <c:v>4.59375</c:v>
                </c:pt>
                <c:pt idx="6">
                  <c:v>4.659685863874345</c:v>
                </c:pt>
                <c:pt idx="7">
                  <c:v>4.177777777777778</c:v>
                </c:pt>
                <c:pt idx="8">
                  <c:v>4.177777777777778</c:v>
                </c:pt>
                <c:pt idx="9">
                  <c:v>4.177777777777778</c:v>
                </c:pt>
                <c:pt idx="10">
                  <c:v>4.9549180327868854</c:v>
                </c:pt>
                <c:pt idx="11">
                  <c:v>3.3722943722943723</c:v>
                </c:pt>
                <c:pt idx="12">
                  <c:v>4.241935483870968</c:v>
                </c:pt>
                <c:pt idx="13">
                  <c:v>4.2688524590163928</c:v>
                </c:pt>
                <c:pt idx="14">
                  <c:v>3.8373015873015874</c:v>
                </c:pt>
                <c:pt idx="15">
                  <c:v>3.8373015873015874</c:v>
                </c:pt>
                <c:pt idx="16">
                  <c:v>4.6612021857923498</c:v>
                </c:pt>
                <c:pt idx="17">
                  <c:v>4.7619047619047619</c:v>
                </c:pt>
                <c:pt idx="18">
                  <c:v>4.7218565985452026</c:v>
                </c:pt>
                <c:pt idx="19">
                  <c:v>4.3546798029556655</c:v>
                </c:pt>
                <c:pt idx="20">
                  <c:v>3.2115384615384617</c:v>
                </c:pt>
                <c:pt idx="21">
                  <c:v>5.9148936170212769</c:v>
                </c:pt>
                <c:pt idx="22">
                  <c:v>4.8505154639175254</c:v>
                </c:pt>
                <c:pt idx="23">
                  <c:v>3.8461538461538463</c:v>
                </c:pt>
                <c:pt idx="24">
                  <c:v>3.8461538461538463</c:v>
                </c:pt>
                <c:pt idx="25">
                  <c:v>4.6214285714285719</c:v>
                </c:pt>
                <c:pt idx="26">
                  <c:v>4.2</c:v>
                </c:pt>
                <c:pt idx="27">
                  <c:v>3.9249999999999998</c:v>
                </c:pt>
                <c:pt idx="28">
                  <c:v>4.6860465116279064</c:v>
                </c:pt>
                <c:pt idx="29">
                  <c:v>4.6860465116279064</c:v>
                </c:pt>
                <c:pt idx="30">
                  <c:v>4.0555555555555554</c:v>
                </c:pt>
                <c:pt idx="31">
                  <c:v>4.6302083333333339</c:v>
                </c:pt>
                <c:pt idx="32">
                  <c:v>3.9249999999999998</c:v>
                </c:pt>
                <c:pt idx="33">
                  <c:v>4.5481927710843371</c:v>
                </c:pt>
                <c:pt idx="34">
                  <c:v>4.7759999999999998</c:v>
                </c:pt>
                <c:pt idx="35">
                  <c:v>4.55</c:v>
                </c:pt>
                <c:pt idx="36">
                  <c:v>4.1277777777777773</c:v>
                </c:pt>
                <c:pt idx="37">
                  <c:v>4.5925925925925926</c:v>
                </c:pt>
                <c:pt idx="38">
                  <c:v>4.73828125</c:v>
                </c:pt>
                <c:pt idx="39">
                  <c:v>3.9836065573770494</c:v>
                </c:pt>
                <c:pt idx="40">
                  <c:v>4.73828125</c:v>
                </c:pt>
                <c:pt idx="41">
                  <c:v>3.8400000000000003</c:v>
                </c:pt>
                <c:pt idx="42">
                  <c:v>4.6302083333333339</c:v>
                </c:pt>
                <c:pt idx="43">
                  <c:v>4.6411764705882357</c:v>
                </c:pt>
                <c:pt idx="44">
                  <c:v>4.57258064516129</c:v>
                </c:pt>
                <c:pt idx="45">
                  <c:v>4.9140625</c:v>
                </c:pt>
                <c:pt idx="46">
                  <c:v>4.6302083333333339</c:v>
                </c:pt>
                <c:pt idx="47">
                  <c:v>6.0256410256410255</c:v>
                </c:pt>
                <c:pt idx="48">
                  <c:v>4.8670520231213876</c:v>
                </c:pt>
                <c:pt idx="49">
                  <c:v>6.1878453038674026</c:v>
                </c:pt>
                <c:pt idx="50">
                  <c:v>5.078125</c:v>
                </c:pt>
                <c:pt idx="51">
                  <c:v>4.5084033613445378</c:v>
                </c:pt>
                <c:pt idx="52">
                  <c:v>4.2666666666666666</c:v>
                </c:pt>
                <c:pt idx="53">
                  <c:v>5.078125</c:v>
                </c:pt>
                <c:pt idx="54">
                  <c:v>4.2666666666666666</c:v>
                </c:pt>
                <c:pt idx="55">
                  <c:v>5.078125</c:v>
                </c:pt>
                <c:pt idx="56">
                  <c:v>4.5084033613445378</c:v>
                </c:pt>
                <c:pt idx="57">
                  <c:v>3.5428571428571427</c:v>
                </c:pt>
                <c:pt idx="58">
                  <c:v>3.8780487804878048</c:v>
                </c:pt>
                <c:pt idx="59">
                  <c:v>3.5428571428571427</c:v>
                </c:pt>
                <c:pt idx="60">
                  <c:v>4.670157068062827</c:v>
                </c:pt>
                <c:pt idx="61">
                  <c:v>4.2815126050420167</c:v>
                </c:pt>
                <c:pt idx="62">
                  <c:v>4</c:v>
                </c:pt>
                <c:pt idx="63">
                  <c:v>4</c:v>
                </c:pt>
                <c:pt idx="64">
                  <c:v>3.5428571428571427</c:v>
                </c:pt>
                <c:pt idx="65">
                  <c:v>3.5428571428571427</c:v>
                </c:pt>
                <c:pt idx="66">
                  <c:v>3.8780487804878048</c:v>
                </c:pt>
                <c:pt idx="67">
                  <c:v>3.867924528301887</c:v>
                </c:pt>
                <c:pt idx="68">
                  <c:v>4.0898203592814371</c:v>
                </c:pt>
                <c:pt idx="69">
                  <c:v>4.4652406417112305</c:v>
                </c:pt>
                <c:pt idx="70">
                  <c:v>4.2299999999999995</c:v>
                </c:pt>
                <c:pt idx="71">
                  <c:v>3.9695121951219514</c:v>
                </c:pt>
                <c:pt idx="72">
                  <c:v>5.0620689655172422</c:v>
                </c:pt>
                <c:pt idx="73">
                  <c:v>4.8680000000000003</c:v>
                </c:pt>
                <c:pt idx="74">
                  <c:v>4.1011235955056176</c:v>
                </c:pt>
              </c:numCache>
            </c:numRef>
          </c:xVal>
          <c:yVal>
            <c:numRef>
              <c:f>'Ice Breaker'!$W$142:$W$216</c:f>
              <c:numCache>
                <c:formatCode>0.00</c:formatCode>
                <c:ptCount val="75"/>
                <c:pt idx="0">
                  <c:v>0.25787016829629522</c:v>
                </c:pt>
                <c:pt idx="2">
                  <c:v>0.26794684705811467</c:v>
                </c:pt>
                <c:pt idx="3">
                  <c:v>0.26794684705811467</c:v>
                </c:pt>
                <c:pt idx="4">
                  <c:v>0.25457401315813899</c:v>
                </c:pt>
                <c:pt idx="5">
                  <c:v>0.26211120185161113</c:v>
                </c:pt>
                <c:pt idx="6">
                  <c:v>0.30441893388601149</c:v>
                </c:pt>
                <c:pt idx="7">
                  <c:v>0.30278870996884039</c:v>
                </c:pt>
                <c:pt idx="8">
                  <c:v>0.30278870996884039</c:v>
                </c:pt>
                <c:pt idx="9">
                  <c:v>0.30278870996884039</c:v>
                </c:pt>
                <c:pt idx="10">
                  <c:v>0.25372565729512497</c:v>
                </c:pt>
                <c:pt idx="11">
                  <c:v>0.30679185875326648</c:v>
                </c:pt>
                <c:pt idx="13">
                  <c:v>0.2732604153651873</c:v>
                </c:pt>
                <c:pt idx="14">
                  <c:v>0.27535902960008468</c:v>
                </c:pt>
                <c:pt idx="15">
                  <c:v>0.27535902960008468</c:v>
                </c:pt>
                <c:pt idx="16">
                  <c:v>0.29318250009207514</c:v>
                </c:pt>
                <c:pt idx="17">
                  <c:v>0.2075814812447378</c:v>
                </c:pt>
                <c:pt idx="18">
                  <c:v>0.28111163574776932</c:v>
                </c:pt>
                <c:pt idx="19">
                  <c:v>0.22690592432753523</c:v>
                </c:pt>
                <c:pt idx="20">
                  <c:v>0.26230993341252123</c:v>
                </c:pt>
                <c:pt idx="21">
                  <c:v>0.22271075891417091</c:v>
                </c:pt>
                <c:pt idx="22">
                  <c:v>0.27067851566170464</c:v>
                </c:pt>
                <c:pt idx="23">
                  <c:v>0.32002145025230411</c:v>
                </c:pt>
                <c:pt idx="24">
                  <c:v>0.32002145025230411</c:v>
                </c:pt>
                <c:pt idx="26">
                  <c:v>0.14720345689556838</c:v>
                </c:pt>
                <c:pt idx="27">
                  <c:v>0.30561715683090646</c:v>
                </c:pt>
                <c:pt idx="28">
                  <c:v>0.29246983295309581</c:v>
                </c:pt>
                <c:pt idx="29">
                  <c:v>0.25591110383395882</c:v>
                </c:pt>
                <c:pt idx="30">
                  <c:v>0.23048805935904937</c:v>
                </c:pt>
                <c:pt idx="31">
                  <c:v>0.29066598115584802</c:v>
                </c:pt>
                <c:pt idx="32">
                  <c:v>0.30561715683090646</c:v>
                </c:pt>
                <c:pt idx="33">
                  <c:v>0.26441322619433594</c:v>
                </c:pt>
                <c:pt idx="34">
                  <c:v>0.27705462384726043</c:v>
                </c:pt>
                <c:pt idx="35">
                  <c:v>0.24341592871038287</c:v>
                </c:pt>
                <c:pt idx="36">
                  <c:v>0.22846277861295583</c:v>
                </c:pt>
                <c:pt idx="37">
                  <c:v>0.2800086022532744</c:v>
                </c:pt>
                <c:pt idx="38">
                  <c:v>0.26820737767736963</c:v>
                </c:pt>
                <c:pt idx="39">
                  <c:v>0.12005511187100423</c:v>
                </c:pt>
                <c:pt idx="40">
                  <c:v>0.2831077875483346</c:v>
                </c:pt>
                <c:pt idx="41">
                  <c:v>0.34596913540789631</c:v>
                </c:pt>
                <c:pt idx="42">
                  <c:v>0.29066598115584802</c:v>
                </c:pt>
                <c:pt idx="43">
                  <c:v>0.18475241061642478</c:v>
                </c:pt>
                <c:pt idx="44">
                  <c:v>0.25427638717932577</c:v>
                </c:pt>
                <c:pt idx="45">
                  <c:v>0.28092443977237491</c:v>
                </c:pt>
                <c:pt idx="46">
                  <c:v>0.29066598115584802</c:v>
                </c:pt>
                <c:pt idx="47">
                  <c:v>0.20988740287603655</c:v>
                </c:pt>
                <c:pt idx="48">
                  <c:v>0.25038055930601139</c:v>
                </c:pt>
                <c:pt idx="50">
                  <c:v>0.29362099536690844</c:v>
                </c:pt>
                <c:pt idx="51">
                  <c:v>0.23764025699897592</c:v>
                </c:pt>
                <c:pt idx="52">
                  <c:v>0.30148485744072634</c:v>
                </c:pt>
                <c:pt idx="53">
                  <c:v>0.29362099536690844</c:v>
                </c:pt>
                <c:pt idx="54">
                  <c:v>0.30148485744072634</c:v>
                </c:pt>
                <c:pt idx="55">
                  <c:v>0.29218167676216872</c:v>
                </c:pt>
                <c:pt idx="56">
                  <c:v>0.23764025699897592</c:v>
                </c:pt>
                <c:pt idx="57">
                  <c:v>0.29178355160147368</c:v>
                </c:pt>
                <c:pt idx="58">
                  <c:v>0.27608086693365513</c:v>
                </c:pt>
                <c:pt idx="59">
                  <c:v>0.29178355160147368</c:v>
                </c:pt>
                <c:pt idx="60">
                  <c:v>0.26758816967596283</c:v>
                </c:pt>
                <c:pt idx="61">
                  <c:v>0.26011266934709754</c:v>
                </c:pt>
                <c:pt idx="62">
                  <c:v>0.35821738900752964</c:v>
                </c:pt>
                <c:pt idx="63">
                  <c:v>0.35821738900752964</c:v>
                </c:pt>
                <c:pt idx="64">
                  <c:v>0.29178355160147368</c:v>
                </c:pt>
                <c:pt idx="65">
                  <c:v>0.29178355160147368</c:v>
                </c:pt>
                <c:pt idx="66">
                  <c:v>0.27608086693365513</c:v>
                </c:pt>
                <c:pt idx="67">
                  <c:v>0.18122649417756173</c:v>
                </c:pt>
                <c:pt idx="68">
                  <c:v>0.25814375065499223</c:v>
                </c:pt>
                <c:pt idx="69">
                  <c:v>0.28734613517543189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A97-4494-A976-17275D46A043}"/>
            </c:ext>
          </c:extLst>
        </c:ser>
        <c:ser>
          <c:idx val="1"/>
          <c:order val="1"/>
          <c:spPr>
            <a:ln w="19050">
              <a:noFill/>
            </a:ln>
          </c:spPr>
          <c:xVal>
            <c:numRef>
              <c:f>'Ice Breaker'!$B$10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'Ice Breaker'!$B$14</c:f>
              <c:numCache>
                <c:formatCode>General</c:formatCode>
                <c:ptCount val="1"/>
                <c:pt idx="0">
                  <c:v>0.29564904670492881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A97-4494-A976-17275D46A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768832"/>
        <c:axId val="81770752"/>
      </c:scatterChart>
      <c:valAx>
        <c:axId val="81768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L/B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770752"/>
        <c:crosses val="autoZero"/>
        <c:crossBetween val="midCat"/>
      </c:valAx>
      <c:valAx>
        <c:axId val="81770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 baseline="0"/>
                  <a:t>Fn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817688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2"/>
            <c:spPr>
              <a:solidFill>
                <a:schemeClr val="tx1"/>
              </a:solidFill>
              <a:ln>
                <a:noFill/>
              </a:ln>
            </c:spPr>
          </c:marker>
          <c:trendline>
            <c:trendlineType val="linear"/>
            <c:dispRSqr val="0"/>
            <c:dispEq val="0"/>
          </c:trendline>
          <c:xVal>
            <c:numRef>
              <c:f>'Ice Breaker'!$Q$142:$Q$216</c:f>
              <c:numCache>
                <c:formatCode>General</c:formatCode>
                <c:ptCount val="75"/>
                <c:pt idx="0">
                  <c:v>3.296470588235294</c:v>
                </c:pt>
                <c:pt idx="1">
                  <c:v>2.6153846153846154</c:v>
                </c:pt>
                <c:pt idx="2">
                  <c:v>2.375</c:v>
                </c:pt>
                <c:pt idx="3">
                  <c:v>2.375</c:v>
                </c:pt>
                <c:pt idx="4">
                  <c:v>2.8266666666666667</c:v>
                </c:pt>
                <c:pt idx="5">
                  <c:v>2.9538461538461536</c:v>
                </c:pt>
                <c:pt idx="6">
                  <c:v>2.9384615384615387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2.8705882352941177</c:v>
                </c:pt>
                <c:pt idx="11">
                  <c:v>3.2083333333333335</c:v>
                </c:pt>
                <c:pt idx="12">
                  <c:v>3.2068965517241383</c:v>
                </c:pt>
                <c:pt idx="13">
                  <c:v>3.5882352941176472</c:v>
                </c:pt>
                <c:pt idx="14">
                  <c:v>3</c:v>
                </c:pt>
                <c:pt idx="15">
                  <c:v>3</c:v>
                </c:pt>
                <c:pt idx="16">
                  <c:v>2.6911764705882355</c:v>
                </c:pt>
                <c:pt idx="17">
                  <c:v>2.9531249999999996</c:v>
                </c:pt>
                <c:pt idx="18">
                  <c:v>3.2077777777777778</c:v>
                </c:pt>
                <c:pt idx="19">
                  <c:v>2.5696202531645569</c:v>
                </c:pt>
                <c:pt idx="20">
                  <c:v>3.6705882352941175</c:v>
                </c:pt>
                <c:pt idx="21">
                  <c:v>2.7647058823529411</c:v>
                </c:pt>
                <c:pt idx="22">
                  <c:v>2.6944444444444442</c:v>
                </c:pt>
                <c:pt idx="23">
                  <c:v>3.2054794520547945</c:v>
                </c:pt>
                <c:pt idx="24">
                  <c:v>3.2054794520547945</c:v>
                </c:pt>
                <c:pt idx="25">
                  <c:v>2.4137931034482758</c:v>
                </c:pt>
                <c:pt idx="26">
                  <c:v>2.4576271186440675</c:v>
                </c:pt>
                <c:pt idx="27">
                  <c:v>3.3333333333333335</c:v>
                </c:pt>
                <c:pt idx="28">
                  <c:v>2.0722891566265056</c:v>
                </c:pt>
                <c:pt idx="29">
                  <c:v>2.15</c:v>
                </c:pt>
                <c:pt idx="30">
                  <c:v>2.4</c:v>
                </c:pt>
                <c:pt idx="31">
                  <c:v>2.6666666666666665</c:v>
                </c:pt>
                <c:pt idx="32">
                  <c:v>3.3333333333333335</c:v>
                </c:pt>
                <c:pt idx="33">
                  <c:v>2.2133333333333334</c:v>
                </c:pt>
                <c:pt idx="34">
                  <c:v>3.3333333333333335</c:v>
                </c:pt>
                <c:pt idx="35">
                  <c:v>2.1428571428571428</c:v>
                </c:pt>
                <c:pt idx="36">
                  <c:v>3.6</c:v>
                </c:pt>
                <c:pt idx="37">
                  <c:v>2.9347826086956523</c:v>
                </c:pt>
                <c:pt idx="38">
                  <c:v>3.0117647058823529</c:v>
                </c:pt>
                <c:pt idx="39">
                  <c:v>3.2105263157894735</c:v>
                </c:pt>
                <c:pt idx="40">
                  <c:v>3.0117647058823529</c:v>
                </c:pt>
                <c:pt idx="41">
                  <c:v>2.5</c:v>
                </c:pt>
                <c:pt idx="42">
                  <c:v>2.6666666666666665</c:v>
                </c:pt>
                <c:pt idx="43">
                  <c:v>1.9917984768599883</c:v>
                </c:pt>
                <c:pt idx="44">
                  <c:v>2.6105263157894738</c:v>
                </c:pt>
                <c:pt idx="45">
                  <c:v>3.0117647058823529</c:v>
                </c:pt>
                <c:pt idx="46">
                  <c:v>2.6666666666666665</c:v>
                </c:pt>
                <c:pt idx="47">
                  <c:v>2.8363636363636364</c:v>
                </c:pt>
                <c:pt idx="48">
                  <c:v>2.0595238095238093</c:v>
                </c:pt>
                <c:pt idx="49">
                  <c:v>2.9917355371900829</c:v>
                </c:pt>
                <c:pt idx="50">
                  <c:v>2.3272727272727276</c:v>
                </c:pt>
                <c:pt idx="51">
                  <c:v>2.8000000000000003</c:v>
                </c:pt>
                <c:pt idx="52">
                  <c:v>3.0821917808219177</c:v>
                </c:pt>
                <c:pt idx="53">
                  <c:v>2.3272727272727276</c:v>
                </c:pt>
                <c:pt idx="54">
                  <c:v>3.0821917808219177</c:v>
                </c:pt>
                <c:pt idx="55">
                  <c:v>2.3272727272727276</c:v>
                </c:pt>
                <c:pt idx="56">
                  <c:v>2.8000000000000003</c:v>
                </c:pt>
                <c:pt idx="57">
                  <c:v>2.82258064516129</c:v>
                </c:pt>
                <c:pt idx="58">
                  <c:v>3.3064516129032255</c:v>
                </c:pt>
                <c:pt idx="59">
                  <c:v>2.82258064516129</c:v>
                </c:pt>
                <c:pt idx="60">
                  <c:v>3.0317460317460321</c:v>
                </c:pt>
                <c:pt idx="61">
                  <c:v>2.404040404040404</c:v>
                </c:pt>
                <c:pt idx="62">
                  <c:v>2.8333333333333335</c:v>
                </c:pt>
                <c:pt idx="63">
                  <c:v>2.8333333333333335</c:v>
                </c:pt>
                <c:pt idx="64">
                  <c:v>2.82258064516129</c:v>
                </c:pt>
                <c:pt idx="65">
                  <c:v>2.82258064516129</c:v>
                </c:pt>
                <c:pt idx="66">
                  <c:v>3.3064516129032255</c:v>
                </c:pt>
                <c:pt idx="67">
                  <c:v>2.8648648648648645</c:v>
                </c:pt>
                <c:pt idx="68">
                  <c:v>2.8793103448275863</c:v>
                </c:pt>
                <c:pt idx="69">
                  <c:v>2.6714285714285713</c:v>
                </c:pt>
                <c:pt idx="70">
                  <c:v>6.3694267515923562</c:v>
                </c:pt>
                <c:pt idx="71">
                  <c:v>5.6551724137931032</c:v>
                </c:pt>
                <c:pt idx="72">
                  <c:v>3.4117647058823528</c:v>
                </c:pt>
                <c:pt idx="73">
                  <c:v>3.125</c:v>
                </c:pt>
                <c:pt idx="74">
                  <c:v>3.6326530612244898</c:v>
                </c:pt>
              </c:numCache>
            </c:numRef>
          </c:xVal>
          <c:yVal>
            <c:numRef>
              <c:f>'Ice Breaker'!$W$142:$W$216</c:f>
              <c:numCache>
                <c:formatCode>0.00</c:formatCode>
                <c:ptCount val="75"/>
                <c:pt idx="0">
                  <c:v>0.25787016829629522</c:v>
                </c:pt>
                <c:pt idx="2">
                  <c:v>0.26794684705811467</c:v>
                </c:pt>
                <c:pt idx="3">
                  <c:v>0.26794684705811467</c:v>
                </c:pt>
                <c:pt idx="4">
                  <c:v>0.25457401315813899</c:v>
                </c:pt>
                <c:pt idx="5">
                  <c:v>0.26211120185161113</c:v>
                </c:pt>
                <c:pt idx="6">
                  <c:v>0.30441893388601149</c:v>
                </c:pt>
                <c:pt idx="7">
                  <c:v>0.30278870996884039</c:v>
                </c:pt>
                <c:pt idx="8">
                  <c:v>0.30278870996884039</c:v>
                </c:pt>
                <c:pt idx="9">
                  <c:v>0.30278870996884039</c:v>
                </c:pt>
                <c:pt idx="10">
                  <c:v>0.25372565729512497</c:v>
                </c:pt>
                <c:pt idx="11">
                  <c:v>0.30679185875326648</c:v>
                </c:pt>
                <c:pt idx="13">
                  <c:v>0.2732604153651873</c:v>
                </c:pt>
                <c:pt idx="14">
                  <c:v>0.27535902960008468</c:v>
                </c:pt>
                <c:pt idx="15">
                  <c:v>0.27535902960008468</c:v>
                </c:pt>
                <c:pt idx="16">
                  <c:v>0.29318250009207514</c:v>
                </c:pt>
                <c:pt idx="17">
                  <c:v>0.2075814812447378</c:v>
                </c:pt>
                <c:pt idx="18">
                  <c:v>0.28111163574776932</c:v>
                </c:pt>
                <c:pt idx="19">
                  <c:v>0.22690592432753523</c:v>
                </c:pt>
                <c:pt idx="20">
                  <c:v>0.26230993341252123</c:v>
                </c:pt>
                <c:pt idx="21">
                  <c:v>0.22271075891417091</c:v>
                </c:pt>
                <c:pt idx="22">
                  <c:v>0.27067851566170464</c:v>
                </c:pt>
                <c:pt idx="23">
                  <c:v>0.32002145025230411</c:v>
                </c:pt>
                <c:pt idx="24">
                  <c:v>0.32002145025230411</c:v>
                </c:pt>
                <c:pt idx="26">
                  <c:v>0.14720345689556838</c:v>
                </c:pt>
                <c:pt idx="27">
                  <c:v>0.30561715683090646</c:v>
                </c:pt>
                <c:pt idx="28">
                  <c:v>0.29246983295309581</c:v>
                </c:pt>
                <c:pt idx="29">
                  <c:v>0.25591110383395882</c:v>
                </c:pt>
                <c:pt idx="30">
                  <c:v>0.23048805935904937</c:v>
                </c:pt>
                <c:pt idx="31">
                  <c:v>0.29066598115584802</c:v>
                </c:pt>
                <c:pt idx="32">
                  <c:v>0.30561715683090646</c:v>
                </c:pt>
                <c:pt idx="33">
                  <c:v>0.26441322619433594</c:v>
                </c:pt>
                <c:pt idx="34">
                  <c:v>0.27705462384726043</c:v>
                </c:pt>
                <c:pt idx="35">
                  <c:v>0.24341592871038287</c:v>
                </c:pt>
                <c:pt idx="36">
                  <c:v>0.22846277861295583</c:v>
                </c:pt>
                <c:pt idx="37">
                  <c:v>0.2800086022532744</c:v>
                </c:pt>
                <c:pt idx="38">
                  <c:v>0.26820737767736963</c:v>
                </c:pt>
                <c:pt idx="39">
                  <c:v>0.12005511187100423</c:v>
                </c:pt>
                <c:pt idx="40">
                  <c:v>0.2831077875483346</c:v>
                </c:pt>
                <c:pt idx="41">
                  <c:v>0.34596913540789631</c:v>
                </c:pt>
                <c:pt idx="42">
                  <c:v>0.29066598115584802</c:v>
                </c:pt>
                <c:pt idx="43">
                  <c:v>0.18475241061642478</c:v>
                </c:pt>
                <c:pt idx="44">
                  <c:v>0.25427638717932577</c:v>
                </c:pt>
                <c:pt idx="45">
                  <c:v>0.28092443977237491</c:v>
                </c:pt>
                <c:pt idx="46">
                  <c:v>0.29066598115584802</c:v>
                </c:pt>
                <c:pt idx="47">
                  <c:v>0.20988740287603655</c:v>
                </c:pt>
                <c:pt idx="48">
                  <c:v>0.25038055930601139</c:v>
                </c:pt>
                <c:pt idx="50">
                  <c:v>0.29362099536690844</c:v>
                </c:pt>
                <c:pt idx="51">
                  <c:v>0.23764025699897592</c:v>
                </c:pt>
                <c:pt idx="52">
                  <c:v>0.30148485744072634</c:v>
                </c:pt>
                <c:pt idx="53">
                  <c:v>0.29362099536690844</c:v>
                </c:pt>
                <c:pt idx="54">
                  <c:v>0.30148485744072634</c:v>
                </c:pt>
                <c:pt idx="55">
                  <c:v>0.29218167676216872</c:v>
                </c:pt>
                <c:pt idx="56">
                  <c:v>0.23764025699897592</c:v>
                </c:pt>
                <c:pt idx="57">
                  <c:v>0.29178355160147368</c:v>
                </c:pt>
                <c:pt idx="58">
                  <c:v>0.27608086693365513</c:v>
                </c:pt>
                <c:pt idx="59">
                  <c:v>0.29178355160147368</c:v>
                </c:pt>
                <c:pt idx="60">
                  <c:v>0.26758816967596283</c:v>
                </c:pt>
                <c:pt idx="61">
                  <c:v>0.26011266934709754</c:v>
                </c:pt>
                <c:pt idx="62">
                  <c:v>0.35821738900752964</c:v>
                </c:pt>
                <c:pt idx="63">
                  <c:v>0.35821738900752964</c:v>
                </c:pt>
                <c:pt idx="64">
                  <c:v>0.29178355160147368</c:v>
                </c:pt>
                <c:pt idx="65">
                  <c:v>0.29178355160147368</c:v>
                </c:pt>
                <c:pt idx="66">
                  <c:v>0.27608086693365513</c:v>
                </c:pt>
                <c:pt idx="67">
                  <c:v>0.18122649417756173</c:v>
                </c:pt>
                <c:pt idx="68">
                  <c:v>0.25814375065499223</c:v>
                </c:pt>
                <c:pt idx="69">
                  <c:v>0.28734613517543189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C19-4225-BA43-7AA6A72809E4}"/>
            </c:ext>
          </c:extLst>
        </c:ser>
        <c:ser>
          <c:idx val="1"/>
          <c:order val="1"/>
          <c:spPr>
            <a:ln w="19050">
              <a:noFill/>
            </a:ln>
          </c:spPr>
          <c:xVal>
            <c:numRef>
              <c:f>'Ice Breaker'!$B$11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'Ice Breaker'!$B$14</c:f>
              <c:numCache>
                <c:formatCode>General</c:formatCode>
                <c:ptCount val="1"/>
                <c:pt idx="0">
                  <c:v>0.29564904670492881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C19-4225-BA43-7AA6A7280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768832"/>
        <c:axId val="81770752"/>
      </c:scatterChart>
      <c:valAx>
        <c:axId val="81768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B/T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770752"/>
        <c:crosses val="autoZero"/>
        <c:crossBetween val="midCat"/>
      </c:valAx>
      <c:valAx>
        <c:axId val="81770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 baseline="0"/>
                  <a:t>Fn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817688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2"/>
            <c:spPr>
              <a:solidFill>
                <a:schemeClr val="tx1"/>
              </a:solidFill>
              <a:ln>
                <a:noFill/>
              </a:ln>
            </c:spPr>
          </c:marker>
          <c:trendline>
            <c:trendlineType val="power"/>
            <c:dispRSqr val="0"/>
            <c:dispEq val="0"/>
          </c:trendline>
          <c:xVal>
            <c:numRef>
              <c:f>'Offshore supply vessel'!$J$125:$J$189</c:f>
              <c:numCache>
                <c:formatCode>0.00</c:formatCode>
                <c:ptCount val="65"/>
                <c:pt idx="0">
                  <c:v>20.399999999999999</c:v>
                </c:pt>
                <c:pt idx="1">
                  <c:v>19.7</c:v>
                </c:pt>
                <c:pt idx="2">
                  <c:v>19.2</c:v>
                </c:pt>
                <c:pt idx="3">
                  <c:v>22</c:v>
                </c:pt>
                <c:pt idx="4">
                  <c:v>18</c:v>
                </c:pt>
                <c:pt idx="5">
                  <c:v>19</c:v>
                </c:pt>
                <c:pt idx="6">
                  <c:v>19</c:v>
                </c:pt>
                <c:pt idx="7">
                  <c:v>23</c:v>
                </c:pt>
                <c:pt idx="9">
                  <c:v>19</c:v>
                </c:pt>
                <c:pt idx="10">
                  <c:v>19</c:v>
                </c:pt>
                <c:pt idx="11">
                  <c:v>18.8</c:v>
                </c:pt>
                <c:pt idx="12">
                  <c:v>18</c:v>
                </c:pt>
                <c:pt idx="13">
                  <c:v>18</c:v>
                </c:pt>
                <c:pt idx="14">
                  <c:v>18.8</c:v>
                </c:pt>
                <c:pt idx="15">
                  <c:v>18.8</c:v>
                </c:pt>
                <c:pt idx="16">
                  <c:v>18</c:v>
                </c:pt>
                <c:pt idx="17">
                  <c:v>18.5</c:v>
                </c:pt>
                <c:pt idx="19">
                  <c:v>19.899999999999999</c:v>
                </c:pt>
                <c:pt idx="20">
                  <c:v>18.8</c:v>
                </c:pt>
                <c:pt idx="21">
                  <c:v>18.7</c:v>
                </c:pt>
                <c:pt idx="23">
                  <c:v>19</c:v>
                </c:pt>
                <c:pt idx="24">
                  <c:v>19</c:v>
                </c:pt>
                <c:pt idx="25">
                  <c:v>19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18.04</c:v>
                </c:pt>
                <c:pt idx="31">
                  <c:v>18</c:v>
                </c:pt>
                <c:pt idx="32">
                  <c:v>18</c:v>
                </c:pt>
                <c:pt idx="33">
                  <c:v>16</c:v>
                </c:pt>
                <c:pt idx="34">
                  <c:v>16.399999999999999</c:v>
                </c:pt>
                <c:pt idx="35">
                  <c:v>17.2</c:v>
                </c:pt>
                <c:pt idx="36">
                  <c:v>16</c:v>
                </c:pt>
                <c:pt idx="38">
                  <c:v>16.399999999999999</c:v>
                </c:pt>
                <c:pt idx="40">
                  <c:v>16.600000000000001</c:v>
                </c:pt>
                <c:pt idx="41">
                  <c:v>16.600000000000001</c:v>
                </c:pt>
                <c:pt idx="42">
                  <c:v>16.600000000000001</c:v>
                </c:pt>
                <c:pt idx="43">
                  <c:v>16</c:v>
                </c:pt>
                <c:pt idx="44">
                  <c:v>20</c:v>
                </c:pt>
                <c:pt idx="45">
                  <c:v>16</c:v>
                </c:pt>
                <c:pt idx="46">
                  <c:v>16.600000000000001</c:v>
                </c:pt>
                <c:pt idx="47">
                  <c:v>13.3</c:v>
                </c:pt>
                <c:pt idx="48">
                  <c:v>15.5</c:v>
                </c:pt>
                <c:pt idx="50">
                  <c:v>17.5</c:v>
                </c:pt>
                <c:pt idx="52">
                  <c:v>13.3</c:v>
                </c:pt>
                <c:pt idx="53">
                  <c:v>13.3</c:v>
                </c:pt>
                <c:pt idx="54">
                  <c:v>21.7</c:v>
                </c:pt>
                <c:pt idx="55">
                  <c:v>15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59">
                  <c:v>26.5</c:v>
                </c:pt>
                <c:pt idx="60">
                  <c:v>27</c:v>
                </c:pt>
                <c:pt idx="61">
                  <c:v>18.5</c:v>
                </c:pt>
                <c:pt idx="62">
                  <c:v>21</c:v>
                </c:pt>
                <c:pt idx="63">
                  <c:v>30</c:v>
                </c:pt>
                <c:pt idx="64">
                  <c:v>15</c:v>
                </c:pt>
              </c:numCache>
            </c:numRef>
          </c:xVal>
          <c:yVal>
            <c:numRef>
              <c:f>'Offshore supply vessel'!$E$125:$E$189</c:f>
              <c:numCache>
                <c:formatCode>General</c:formatCode>
                <c:ptCount val="65"/>
                <c:pt idx="0">
                  <c:v>94.9</c:v>
                </c:pt>
                <c:pt idx="1">
                  <c:v>93.6</c:v>
                </c:pt>
                <c:pt idx="2">
                  <c:v>93.4</c:v>
                </c:pt>
                <c:pt idx="3">
                  <c:v>93.3</c:v>
                </c:pt>
                <c:pt idx="4">
                  <c:v>93.3</c:v>
                </c:pt>
                <c:pt idx="5">
                  <c:v>91.1</c:v>
                </c:pt>
                <c:pt idx="6">
                  <c:v>91.1</c:v>
                </c:pt>
                <c:pt idx="7">
                  <c:v>90.3</c:v>
                </c:pt>
                <c:pt idx="8">
                  <c:v>90.3</c:v>
                </c:pt>
                <c:pt idx="9">
                  <c:v>90.2</c:v>
                </c:pt>
                <c:pt idx="10">
                  <c:v>88.8</c:v>
                </c:pt>
                <c:pt idx="11">
                  <c:v>88.8</c:v>
                </c:pt>
                <c:pt idx="12">
                  <c:v>87.7</c:v>
                </c:pt>
                <c:pt idx="13">
                  <c:v>87.7</c:v>
                </c:pt>
                <c:pt idx="14">
                  <c:v>86.3</c:v>
                </c:pt>
                <c:pt idx="15">
                  <c:v>86.2</c:v>
                </c:pt>
                <c:pt idx="16">
                  <c:v>86.2</c:v>
                </c:pt>
                <c:pt idx="17">
                  <c:v>86.2</c:v>
                </c:pt>
                <c:pt idx="18">
                  <c:v>86.2</c:v>
                </c:pt>
                <c:pt idx="19">
                  <c:v>86</c:v>
                </c:pt>
                <c:pt idx="20">
                  <c:v>84.4</c:v>
                </c:pt>
                <c:pt idx="21">
                  <c:v>84</c:v>
                </c:pt>
                <c:pt idx="22">
                  <c:v>83.7</c:v>
                </c:pt>
                <c:pt idx="23">
                  <c:v>82.8</c:v>
                </c:pt>
                <c:pt idx="24">
                  <c:v>82.8</c:v>
                </c:pt>
                <c:pt idx="25">
                  <c:v>82.8</c:v>
                </c:pt>
                <c:pt idx="26">
                  <c:v>82.45</c:v>
                </c:pt>
                <c:pt idx="27">
                  <c:v>82.1</c:v>
                </c:pt>
                <c:pt idx="28">
                  <c:v>82.1</c:v>
                </c:pt>
                <c:pt idx="29">
                  <c:v>82.1</c:v>
                </c:pt>
                <c:pt idx="30">
                  <c:v>81.099999999999994</c:v>
                </c:pt>
                <c:pt idx="31">
                  <c:v>80.400000000000006</c:v>
                </c:pt>
                <c:pt idx="32">
                  <c:v>80</c:v>
                </c:pt>
                <c:pt idx="33">
                  <c:v>75</c:v>
                </c:pt>
                <c:pt idx="34">
                  <c:v>74.8</c:v>
                </c:pt>
                <c:pt idx="35">
                  <c:v>74.5</c:v>
                </c:pt>
                <c:pt idx="36">
                  <c:v>73.900000000000006</c:v>
                </c:pt>
                <c:pt idx="37">
                  <c:v>73.8</c:v>
                </c:pt>
                <c:pt idx="38">
                  <c:v>73.599999999999994</c:v>
                </c:pt>
                <c:pt idx="39">
                  <c:v>73.400000000000006</c:v>
                </c:pt>
                <c:pt idx="40">
                  <c:v>73.400000000000006</c:v>
                </c:pt>
                <c:pt idx="41">
                  <c:v>73.400000000000006</c:v>
                </c:pt>
                <c:pt idx="42">
                  <c:v>73.400000000000006</c:v>
                </c:pt>
                <c:pt idx="43">
                  <c:v>73.3</c:v>
                </c:pt>
                <c:pt idx="44">
                  <c:v>73.2</c:v>
                </c:pt>
                <c:pt idx="45">
                  <c:v>72</c:v>
                </c:pt>
                <c:pt idx="46">
                  <c:v>70.400000000000006</c:v>
                </c:pt>
                <c:pt idx="47">
                  <c:v>69.599999999999994</c:v>
                </c:pt>
                <c:pt idx="48">
                  <c:v>69.3</c:v>
                </c:pt>
                <c:pt idx="49">
                  <c:v>69.099999999999994</c:v>
                </c:pt>
                <c:pt idx="50">
                  <c:v>68.8</c:v>
                </c:pt>
                <c:pt idx="51">
                  <c:v>65.5</c:v>
                </c:pt>
                <c:pt idx="52">
                  <c:v>60</c:v>
                </c:pt>
                <c:pt idx="53">
                  <c:v>60</c:v>
                </c:pt>
                <c:pt idx="54">
                  <c:v>134.19999999999999</c:v>
                </c:pt>
                <c:pt idx="55">
                  <c:v>65</c:v>
                </c:pt>
                <c:pt idx="56">
                  <c:v>65</c:v>
                </c:pt>
                <c:pt idx="57">
                  <c:v>65</c:v>
                </c:pt>
                <c:pt idx="58">
                  <c:v>65</c:v>
                </c:pt>
                <c:pt idx="59">
                  <c:v>114</c:v>
                </c:pt>
                <c:pt idx="60">
                  <c:v>138</c:v>
                </c:pt>
                <c:pt idx="61">
                  <c:v>81.599999999999994</c:v>
                </c:pt>
                <c:pt idx="62">
                  <c:v>100</c:v>
                </c:pt>
                <c:pt idx="63">
                  <c:v>159.6</c:v>
                </c:pt>
                <c:pt idx="64">
                  <c:v>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4DC-4549-B9E9-47823F205C44}"/>
            </c:ext>
          </c:extLst>
        </c:ser>
        <c:ser>
          <c:idx val="1"/>
          <c:order val="1"/>
          <c:spPr>
            <a:ln w="19050">
              <a:noFill/>
            </a:ln>
          </c:spPr>
          <c:xVal>
            <c:numRef>
              <c:f>'Offshore supply vessel'!$B$3</c:f>
              <c:numCache>
                <c:formatCode>General</c:formatCode>
                <c:ptCount val="1"/>
                <c:pt idx="0">
                  <c:v>20</c:v>
                </c:pt>
              </c:numCache>
            </c:numRef>
          </c:xVal>
          <c:yVal>
            <c:numRef>
              <c:f>'Offshore supply vessel'!$B$2</c:f>
              <c:numCache>
                <c:formatCode>General</c:formatCode>
                <c:ptCount val="1"/>
                <c:pt idx="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4DC-4549-B9E9-47823F205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768832"/>
        <c:axId val="81770752"/>
      </c:scatterChart>
      <c:valAx>
        <c:axId val="81768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B (m)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81770752"/>
        <c:crosses val="autoZero"/>
        <c:crossBetween val="midCat"/>
      </c:valAx>
      <c:valAx>
        <c:axId val="81770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 baseline="0"/>
                  <a:t>L (m)</a:t>
                </a:r>
                <a:endParaRPr lang="fi-FI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7688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2"/>
            <c:spPr>
              <a:solidFill>
                <a:schemeClr val="tx1"/>
              </a:solidFill>
              <a:ln>
                <a:noFill/>
              </a:ln>
            </c:spPr>
          </c:marker>
          <c:trendline>
            <c:trendlineType val="power"/>
            <c:dispRSqr val="0"/>
            <c:dispEq val="0"/>
          </c:trendline>
          <c:xVal>
            <c:numRef>
              <c:f>'Offshore supply vessel'!$J$125:$J$190</c:f>
              <c:numCache>
                <c:formatCode>0.00</c:formatCode>
                <c:ptCount val="66"/>
                <c:pt idx="0">
                  <c:v>20.399999999999999</c:v>
                </c:pt>
                <c:pt idx="1">
                  <c:v>19.7</c:v>
                </c:pt>
                <c:pt idx="2">
                  <c:v>19.2</c:v>
                </c:pt>
                <c:pt idx="3">
                  <c:v>22</c:v>
                </c:pt>
                <c:pt idx="4">
                  <c:v>18</c:v>
                </c:pt>
                <c:pt idx="5">
                  <c:v>19</c:v>
                </c:pt>
                <c:pt idx="6">
                  <c:v>19</c:v>
                </c:pt>
                <c:pt idx="7">
                  <c:v>23</c:v>
                </c:pt>
                <c:pt idx="9">
                  <c:v>19</c:v>
                </c:pt>
                <c:pt idx="10">
                  <c:v>19</c:v>
                </c:pt>
                <c:pt idx="11">
                  <c:v>18.8</c:v>
                </c:pt>
                <c:pt idx="12">
                  <c:v>18</c:v>
                </c:pt>
                <c:pt idx="13">
                  <c:v>18</c:v>
                </c:pt>
                <c:pt idx="14">
                  <c:v>18.8</c:v>
                </c:pt>
                <c:pt idx="15">
                  <c:v>18.8</c:v>
                </c:pt>
                <c:pt idx="16">
                  <c:v>18</c:v>
                </c:pt>
                <c:pt idx="17">
                  <c:v>18.5</c:v>
                </c:pt>
                <c:pt idx="19">
                  <c:v>19.899999999999999</c:v>
                </c:pt>
                <c:pt idx="20">
                  <c:v>18.8</c:v>
                </c:pt>
                <c:pt idx="21">
                  <c:v>18.7</c:v>
                </c:pt>
                <c:pt idx="23">
                  <c:v>19</c:v>
                </c:pt>
                <c:pt idx="24">
                  <c:v>19</c:v>
                </c:pt>
                <c:pt idx="25">
                  <c:v>19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18.04</c:v>
                </c:pt>
                <c:pt idx="31">
                  <c:v>18</c:v>
                </c:pt>
                <c:pt idx="32">
                  <c:v>18</c:v>
                </c:pt>
                <c:pt idx="33">
                  <c:v>16</c:v>
                </c:pt>
                <c:pt idx="34">
                  <c:v>16.399999999999999</c:v>
                </c:pt>
                <c:pt idx="35">
                  <c:v>17.2</c:v>
                </c:pt>
                <c:pt idx="36">
                  <c:v>16</c:v>
                </c:pt>
                <c:pt idx="38">
                  <c:v>16.399999999999999</c:v>
                </c:pt>
                <c:pt idx="40">
                  <c:v>16.600000000000001</c:v>
                </c:pt>
                <c:pt idx="41">
                  <c:v>16.600000000000001</c:v>
                </c:pt>
                <c:pt idx="42">
                  <c:v>16.600000000000001</c:v>
                </c:pt>
                <c:pt idx="43">
                  <c:v>16</c:v>
                </c:pt>
                <c:pt idx="44">
                  <c:v>20</c:v>
                </c:pt>
                <c:pt idx="45">
                  <c:v>16</c:v>
                </c:pt>
                <c:pt idx="46">
                  <c:v>16.600000000000001</c:v>
                </c:pt>
                <c:pt idx="47">
                  <c:v>13.3</c:v>
                </c:pt>
                <c:pt idx="48">
                  <c:v>15.5</c:v>
                </c:pt>
                <c:pt idx="50">
                  <c:v>17.5</c:v>
                </c:pt>
                <c:pt idx="52">
                  <c:v>13.3</c:v>
                </c:pt>
                <c:pt idx="53">
                  <c:v>13.3</c:v>
                </c:pt>
                <c:pt idx="54">
                  <c:v>21.7</c:v>
                </c:pt>
                <c:pt idx="55">
                  <c:v>15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59">
                  <c:v>26.5</c:v>
                </c:pt>
                <c:pt idx="60">
                  <c:v>27</c:v>
                </c:pt>
                <c:pt idx="61">
                  <c:v>18.5</c:v>
                </c:pt>
                <c:pt idx="62">
                  <c:v>21</c:v>
                </c:pt>
                <c:pt idx="63">
                  <c:v>30</c:v>
                </c:pt>
                <c:pt idx="64">
                  <c:v>15</c:v>
                </c:pt>
              </c:numCache>
            </c:numRef>
          </c:xVal>
          <c:yVal>
            <c:numRef>
              <c:f>'Offshore supply vessel'!$K$125:$K$190</c:f>
              <c:numCache>
                <c:formatCode>0.00</c:formatCode>
                <c:ptCount val="66"/>
                <c:pt idx="0">
                  <c:v>7.9</c:v>
                </c:pt>
                <c:pt idx="1">
                  <c:v>6.3</c:v>
                </c:pt>
                <c:pt idx="2">
                  <c:v>6.82</c:v>
                </c:pt>
                <c:pt idx="4">
                  <c:v>4.97</c:v>
                </c:pt>
                <c:pt idx="5">
                  <c:v>6.5</c:v>
                </c:pt>
                <c:pt idx="6">
                  <c:v>6.5</c:v>
                </c:pt>
                <c:pt idx="7">
                  <c:v>7.8</c:v>
                </c:pt>
                <c:pt idx="9">
                  <c:v>6.97</c:v>
                </c:pt>
                <c:pt idx="10">
                  <c:v>6.6</c:v>
                </c:pt>
                <c:pt idx="12">
                  <c:v>6.6</c:v>
                </c:pt>
                <c:pt idx="13">
                  <c:v>6.6</c:v>
                </c:pt>
                <c:pt idx="16">
                  <c:v>6.6</c:v>
                </c:pt>
                <c:pt idx="17">
                  <c:v>7</c:v>
                </c:pt>
                <c:pt idx="19">
                  <c:v>7.3</c:v>
                </c:pt>
                <c:pt idx="21">
                  <c:v>6.2</c:v>
                </c:pt>
                <c:pt idx="23">
                  <c:v>6.31</c:v>
                </c:pt>
                <c:pt idx="24">
                  <c:v>6.32</c:v>
                </c:pt>
                <c:pt idx="25">
                  <c:v>6.31</c:v>
                </c:pt>
                <c:pt idx="30">
                  <c:v>4.97</c:v>
                </c:pt>
                <c:pt idx="32">
                  <c:v>6.6</c:v>
                </c:pt>
                <c:pt idx="33">
                  <c:v>6.25</c:v>
                </c:pt>
                <c:pt idx="34">
                  <c:v>6.22</c:v>
                </c:pt>
                <c:pt idx="35">
                  <c:v>6.8</c:v>
                </c:pt>
                <c:pt idx="36">
                  <c:v>6.5</c:v>
                </c:pt>
                <c:pt idx="38">
                  <c:v>6.85</c:v>
                </c:pt>
                <c:pt idx="40">
                  <c:v>7.6</c:v>
                </c:pt>
                <c:pt idx="41">
                  <c:v>7.6</c:v>
                </c:pt>
                <c:pt idx="42">
                  <c:v>7.6</c:v>
                </c:pt>
                <c:pt idx="43">
                  <c:v>7.5</c:v>
                </c:pt>
                <c:pt idx="44">
                  <c:v>8.4</c:v>
                </c:pt>
                <c:pt idx="45">
                  <c:v>7</c:v>
                </c:pt>
                <c:pt idx="46">
                  <c:v>7.6</c:v>
                </c:pt>
                <c:pt idx="47">
                  <c:v>5</c:v>
                </c:pt>
                <c:pt idx="48">
                  <c:v>7.32</c:v>
                </c:pt>
                <c:pt idx="50">
                  <c:v>5.77</c:v>
                </c:pt>
                <c:pt idx="52">
                  <c:v>4.0999999999999996</c:v>
                </c:pt>
                <c:pt idx="53">
                  <c:v>4.0999999999999996</c:v>
                </c:pt>
                <c:pt idx="54">
                  <c:v>7.65</c:v>
                </c:pt>
                <c:pt idx="55">
                  <c:v>4.3</c:v>
                </c:pt>
                <c:pt idx="56">
                  <c:v>4.3</c:v>
                </c:pt>
                <c:pt idx="57">
                  <c:v>4.3</c:v>
                </c:pt>
                <c:pt idx="58">
                  <c:v>4.3</c:v>
                </c:pt>
                <c:pt idx="59">
                  <c:v>8.5</c:v>
                </c:pt>
                <c:pt idx="60">
                  <c:v>9.1999999999999993</c:v>
                </c:pt>
                <c:pt idx="61">
                  <c:v>9.1</c:v>
                </c:pt>
                <c:pt idx="62">
                  <c:v>10.5</c:v>
                </c:pt>
                <c:pt idx="63">
                  <c:v>11</c:v>
                </c:pt>
                <c:pt idx="64">
                  <c:v>4.3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15E-497F-A7E4-84F4415F35B6}"/>
            </c:ext>
          </c:extLst>
        </c:ser>
        <c:ser>
          <c:idx val="1"/>
          <c:order val="1"/>
          <c:spPr>
            <a:ln w="19050">
              <a:noFill/>
            </a:ln>
          </c:spPr>
          <c:xVal>
            <c:numRef>
              <c:f>'Offshore supply vessel'!$B$3</c:f>
              <c:numCache>
                <c:formatCode>General</c:formatCode>
                <c:ptCount val="1"/>
                <c:pt idx="0">
                  <c:v>20</c:v>
                </c:pt>
              </c:numCache>
            </c:numRef>
          </c:xVal>
          <c:yVal>
            <c:numRef>
              <c:f>'Offshore supply vessel'!$B$4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15E-497F-A7E4-84F4415F3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403712"/>
        <c:axId val="82405632"/>
      </c:scatterChart>
      <c:valAx>
        <c:axId val="8240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B</a:t>
                </a:r>
                <a:r>
                  <a:rPr lang="fi-FI" baseline="0"/>
                  <a:t> (m)</a:t>
                </a:r>
                <a:endParaRPr lang="fi-FI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82405632"/>
        <c:crosses val="autoZero"/>
        <c:crossBetween val="midCat"/>
      </c:valAx>
      <c:valAx>
        <c:axId val="82405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T (m)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824037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2"/>
            <c:spPr>
              <a:solidFill>
                <a:schemeClr val="tx1"/>
              </a:solidFill>
              <a:ln>
                <a:noFill/>
              </a:ln>
            </c:spPr>
          </c:marker>
          <c:trendline>
            <c:trendlineType val="exp"/>
            <c:dispRSqr val="0"/>
            <c:dispEq val="0"/>
          </c:trendline>
          <c:xVal>
            <c:numRef>
              <c:f>'Offshore supply vessel'!$H$125:$H$190</c:f>
              <c:numCache>
                <c:formatCode>0.00</c:formatCode>
                <c:ptCount val="66"/>
                <c:pt idx="54">
                  <c:v>121.25</c:v>
                </c:pt>
                <c:pt idx="55">
                  <c:v>62.4</c:v>
                </c:pt>
                <c:pt idx="56">
                  <c:v>62.4</c:v>
                </c:pt>
                <c:pt idx="57">
                  <c:v>62.4</c:v>
                </c:pt>
                <c:pt idx="58">
                  <c:v>62.4</c:v>
                </c:pt>
                <c:pt idx="59">
                  <c:v>103.68</c:v>
                </c:pt>
                <c:pt idx="60">
                  <c:v>126</c:v>
                </c:pt>
                <c:pt idx="61">
                  <c:v>73.3</c:v>
                </c:pt>
                <c:pt idx="62">
                  <c:v>88.8</c:v>
                </c:pt>
                <c:pt idx="63">
                  <c:v>138.9</c:v>
                </c:pt>
                <c:pt idx="64">
                  <c:v>62.36</c:v>
                </c:pt>
              </c:numCache>
            </c:numRef>
          </c:xVal>
          <c:yVal>
            <c:numRef>
              <c:f>'Offshore supply vessel'!$U$125:$U$190</c:f>
              <c:numCache>
                <c:formatCode>General</c:formatCode>
                <c:ptCount val="66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19</c:v>
                </c:pt>
                <c:pt idx="5">
                  <c:v>8.1</c:v>
                </c:pt>
                <c:pt idx="6">
                  <c:v>5.4</c:v>
                </c:pt>
                <c:pt idx="7">
                  <c:v>5.4</c:v>
                </c:pt>
                <c:pt idx="9">
                  <c:v>16</c:v>
                </c:pt>
                <c:pt idx="10">
                  <c:v>17.399999999999999</c:v>
                </c:pt>
                <c:pt idx="11">
                  <c:v>54</c:v>
                </c:pt>
                <c:pt idx="12">
                  <c:v>25</c:v>
                </c:pt>
                <c:pt idx="14">
                  <c:v>13</c:v>
                </c:pt>
                <c:pt idx="15">
                  <c:v>7.5</c:v>
                </c:pt>
                <c:pt idx="16">
                  <c:v>6.7</c:v>
                </c:pt>
                <c:pt idx="17">
                  <c:v>16.399999999999999</c:v>
                </c:pt>
                <c:pt idx="18">
                  <c:v>10</c:v>
                </c:pt>
                <c:pt idx="19">
                  <c:v>15</c:v>
                </c:pt>
                <c:pt idx="20">
                  <c:v>15</c:v>
                </c:pt>
                <c:pt idx="21">
                  <c:v>13</c:v>
                </c:pt>
                <c:pt idx="22">
                  <c:v>3.8</c:v>
                </c:pt>
                <c:pt idx="23">
                  <c:v>10</c:v>
                </c:pt>
                <c:pt idx="24">
                  <c:v>13.4</c:v>
                </c:pt>
                <c:pt idx="25">
                  <c:v>13.4</c:v>
                </c:pt>
                <c:pt idx="26">
                  <c:v>13.4</c:v>
                </c:pt>
                <c:pt idx="27">
                  <c:v>22.4</c:v>
                </c:pt>
                <c:pt idx="28">
                  <c:v>10</c:v>
                </c:pt>
                <c:pt idx="29">
                  <c:v>5.8</c:v>
                </c:pt>
                <c:pt idx="30">
                  <c:v>16.2</c:v>
                </c:pt>
                <c:pt idx="31">
                  <c:v>15</c:v>
                </c:pt>
                <c:pt idx="32">
                  <c:v>15</c:v>
                </c:pt>
                <c:pt idx="33">
                  <c:v>9.9</c:v>
                </c:pt>
                <c:pt idx="34">
                  <c:v>6.3</c:v>
                </c:pt>
                <c:pt idx="35">
                  <c:v>36.799999999999997</c:v>
                </c:pt>
                <c:pt idx="36">
                  <c:v>10</c:v>
                </c:pt>
                <c:pt idx="37">
                  <c:v>17.7</c:v>
                </c:pt>
                <c:pt idx="38">
                  <c:v>13.9</c:v>
                </c:pt>
                <c:pt idx="39">
                  <c:v>12</c:v>
                </c:pt>
                <c:pt idx="40">
                  <c:v>15</c:v>
                </c:pt>
                <c:pt idx="41">
                  <c:v>15</c:v>
                </c:pt>
                <c:pt idx="42">
                  <c:v>5.3</c:v>
                </c:pt>
                <c:pt idx="43">
                  <c:v>9</c:v>
                </c:pt>
                <c:pt idx="44">
                  <c:v>7</c:v>
                </c:pt>
                <c:pt idx="45">
                  <c:v>17.7</c:v>
                </c:pt>
                <c:pt idx="46">
                  <c:v>17.100000000000001</c:v>
                </c:pt>
                <c:pt idx="47">
                  <c:v>7.1</c:v>
                </c:pt>
                <c:pt idx="48">
                  <c:v>10</c:v>
                </c:pt>
                <c:pt idx="49">
                  <c:v>7</c:v>
                </c:pt>
                <c:pt idx="50">
                  <c:v>11.2</c:v>
                </c:pt>
                <c:pt idx="51">
                  <c:v>7</c:v>
                </c:pt>
                <c:pt idx="52">
                  <c:v>14</c:v>
                </c:pt>
                <c:pt idx="53">
                  <c:v>7.3</c:v>
                </c:pt>
                <c:pt idx="54">
                  <c:v>9</c:v>
                </c:pt>
                <c:pt idx="55">
                  <c:v>5.3</c:v>
                </c:pt>
                <c:pt idx="56">
                  <c:v>5.3</c:v>
                </c:pt>
                <c:pt idx="57">
                  <c:v>5.3</c:v>
                </c:pt>
                <c:pt idx="58">
                  <c:v>5.3</c:v>
                </c:pt>
                <c:pt idx="59">
                  <c:v>16</c:v>
                </c:pt>
                <c:pt idx="60">
                  <c:v>22.1</c:v>
                </c:pt>
                <c:pt idx="61">
                  <c:v>10.4</c:v>
                </c:pt>
                <c:pt idx="62">
                  <c:v>16.8</c:v>
                </c:pt>
                <c:pt idx="63">
                  <c:v>52.8</c:v>
                </c:pt>
                <c:pt idx="64">
                  <c:v>5.3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276-43BC-9711-B83D26434EC7}"/>
            </c:ext>
          </c:extLst>
        </c:ser>
        <c:ser>
          <c:idx val="1"/>
          <c:order val="1"/>
          <c:spPr>
            <a:ln w="19050">
              <a:noFill/>
            </a:ln>
          </c:spPr>
          <c:xVal>
            <c:numRef>
              <c:f>'Offshore supply vessel'!$B$2</c:f>
              <c:numCache>
                <c:formatCode>General</c:formatCode>
                <c:ptCount val="1"/>
                <c:pt idx="0">
                  <c:v>100</c:v>
                </c:pt>
              </c:numCache>
            </c:numRef>
          </c:xVal>
          <c:yVal>
            <c:numRef>
              <c:f>'Offshore supply vessel'!$B$9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276-43BC-9711-B83D26434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730432"/>
        <c:axId val="89753088"/>
      </c:scatterChart>
      <c:valAx>
        <c:axId val="8973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L</a:t>
                </a:r>
                <a:r>
                  <a:rPr lang="fi-FI" baseline="0"/>
                  <a:t> (m)</a:t>
                </a:r>
                <a:endParaRPr lang="fi-FI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89753088"/>
        <c:crosses val="autoZero"/>
        <c:crossBetween val="midCat"/>
      </c:valAx>
      <c:valAx>
        <c:axId val="897530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P</a:t>
                </a:r>
                <a:r>
                  <a:rPr lang="fi-FI" baseline="0"/>
                  <a:t> (MW)</a:t>
                </a:r>
                <a:endParaRPr lang="fi-FI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97304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D vs L</c:v>
          </c:tx>
          <c:spPr>
            <a:ln w="28575">
              <a:noFill/>
            </a:ln>
          </c:spPr>
          <c:marker>
            <c:symbol val="diamond"/>
            <c:size val="2"/>
            <c:spPr>
              <a:solidFill>
                <a:schemeClr val="tx1"/>
              </a:solidFill>
              <a:ln>
                <a:noFill/>
              </a:ln>
            </c:spPr>
          </c:marker>
          <c:trendline>
            <c:trendlineType val="power"/>
            <c:dispRSqr val="0"/>
            <c:dispEq val="0"/>
          </c:trendline>
          <c:xVal>
            <c:numRef>
              <c:f>'Offshore supply vessel'!$E$125:$E$189</c:f>
              <c:numCache>
                <c:formatCode>General</c:formatCode>
                <c:ptCount val="65"/>
                <c:pt idx="0">
                  <c:v>94.9</c:v>
                </c:pt>
                <c:pt idx="1">
                  <c:v>93.6</c:v>
                </c:pt>
                <c:pt idx="2">
                  <c:v>93.4</c:v>
                </c:pt>
                <c:pt idx="3">
                  <c:v>93.3</c:v>
                </c:pt>
                <c:pt idx="4">
                  <c:v>93.3</c:v>
                </c:pt>
                <c:pt idx="5">
                  <c:v>91.1</c:v>
                </c:pt>
                <c:pt idx="6">
                  <c:v>91.1</c:v>
                </c:pt>
                <c:pt idx="7">
                  <c:v>90.3</c:v>
                </c:pt>
                <c:pt idx="8">
                  <c:v>90.3</c:v>
                </c:pt>
                <c:pt idx="9">
                  <c:v>90.2</c:v>
                </c:pt>
                <c:pt idx="10">
                  <c:v>88.8</c:v>
                </c:pt>
                <c:pt idx="11">
                  <c:v>88.8</c:v>
                </c:pt>
                <c:pt idx="12">
                  <c:v>87.7</c:v>
                </c:pt>
                <c:pt idx="13">
                  <c:v>87.7</c:v>
                </c:pt>
                <c:pt idx="14">
                  <c:v>86.3</c:v>
                </c:pt>
                <c:pt idx="15">
                  <c:v>86.2</c:v>
                </c:pt>
                <c:pt idx="16">
                  <c:v>86.2</c:v>
                </c:pt>
                <c:pt idx="17">
                  <c:v>86.2</c:v>
                </c:pt>
                <c:pt idx="18">
                  <c:v>86.2</c:v>
                </c:pt>
                <c:pt idx="19">
                  <c:v>86</c:v>
                </c:pt>
                <c:pt idx="20">
                  <c:v>84.4</c:v>
                </c:pt>
                <c:pt idx="21">
                  <c:v>84</c:v>
                </c:pt>
                <c:pt idx="22">
                  <c:v>83.7</c:v>
                </c:pt>
                <c:pt idx="23">
                  <c:v>82.8</c:v>
                </c:pt>
                <c:pt idx="24">
                  <c:v>82.8</c:v>
                </c:pt>
                <c:pt idx="25">
                  <c:v>82.8</c:v>
                </c:pt>
                <c:pt idx="26">
                  <c:v>82.45</c:v>
                </c:pt>
                <c:pt idx="27">
                  <c:v>82.1</c:v>
                </c:pt>
                <c:pt idx="28">
                  <c:v>82.1</c:v>
                </c:pt>
                <c:pt idx="29">
                  <c:v>82.1</c:v>
                </c:pt>
                <c:pt idx="30">
                  <c:v>81.099999999999994</c:v>
                </c:pt>
                <c:pt idx="31">
                  <c:v>80.400000000000006</c:v>
                </c:pt>
                <c:pt idx="32">
                  <c:v>80</c:v>
                </c:pt>
                <c:pt idx="33">
                  <c:v>75</c:v>
                </c:pt>
                <c:pt idx="34">
                  <c:v>74.8</c:v>
                </c:pt>
                <c:pt idx="35">
                  <c:v>74.5</c:v>
                </c:pt>
                <c:pt idx="36">
                  <c:v>73.900000000000006</c:v>
                </c:pt>
                <c:pt idx="37">
                  <c:v>73.8</c:v>
                </c:pt>
                <c:pt idx="38">
                  <c:v>73.599999999999994</c:v>
                </c:pt>
                <c:pt idx="39">
                  <c:v>73.400000000000006</c:v>
                </c:pt>
                <c:pt idx="40">
                  <c:v>73.400000000000006</c:v>
                </c:pt>
                <c:pt idx="41">
                  <c:v>73.400000000000006</c:v>
                </c:pt>
                <c:pt idx="42">
                  <c:v>73.400000000000006</c:v>
                </c:pt>
                <c:pt idx="43">
                  <c:v>73.3</c:v>
                </c:pt>
                <c:pt idx="44">
                  <c:v>73.2</c:v>
                </c:pt>
                <c:pt idx="45">
                  <c:v>72</c:v>
                </c:pt>
                <c:pt idx="46">
                  <c:v>70.400000000000006</c:v>
                </c:pt>
                <c:pt idx="47">
                  <c:v>69.599999999999994</c:v>
                </c:pt>
                <c:pt idx="48">
                  <c:v>69.3</c:v>
                </c:pt>
                <c:pt idx="49">
                  <c:v>69.099999999999994</c:v>
                </c:pt>
                <c:pt idx="50">
                  <c:v>68.8</c:v>
                </c:pt>
                <c:pt idx="51">
                  <c:v>65.5</c:v>
                </c:pt>
                <c:pt idx="52">
                  <c:v>60</c:v>
                </c:pt>
                <c:pt idx="53">
                  <c:v>60</c:v>
                </c:pt>
                <c:pt idx="54">
                  <c:v>134.19999999999999</c:v>
                </c:pt>
                <c:pt idx="55">
                  <c:v>65</c:v>
                </c:pt>
                <c:pt idx="56">
                  <c:v>65</c:v>
                </c:pt>
                <c:pt idx="57">
                  <c:v>65</c:v>
                </c:pt>
                <c:pt idx="58">
                  <c:v>65</c:v>
                </c:pt>
                <c:pt idx="59">
                  <c:v>114</c:v>
                </c:pt>
                <c:pt idx="60">
                  <c:v>138</c:v>
                </c:pt>
                <c:pt idx="61">
                  <c:v>81.599999999999994</c:v>
                </c:pt>
                <c:pt idx="62">
                  <c:v>100</c:v>
                </c:pt>
                <c:pt idx="63">
                  <c:v>159.6</c:v>
                </c:pt>
                <c:pt idx="64">
                  <c:v>65</c:v>
                </c:pt>
              </c:numCache>
            </c:numRef>
          </c:xVal>
          <c:yVal>
            <c:numRef>
              <c:f>'Offshore supply vessel'!$I$125:$I$189</c:f>
              <c:numCache>
                <c:formatCode>0.00</c:formatCode>
                <c:ptCount val="65"/>
                <c:pt idx="8">
                  <c:v>9.5</c:v>
                </c:pt>
                <c:pt idx="10">
                  <c:v>8.4</c:v>
                </c:pt>
                <c:pt idx="11">
                  <c:v>8</c:v>
                </c:pt>
                <c:pt idx="13">
                  <c:v>8</c:v>
                </c:pt>
                <c:pt idx="14">
                  <c:v>8</c:v>
                </c:pt>
                <c:pt idx="17">
                  <c:v>8</c:v>
                </c:pt>
                <c:pt idx="18">
                  <c:v>8.5</c:v>
                </c:pt>
                <c:pt idx="20">
                  <c:v>8.8000000000000007</c:v>
                </c:pt>
                <c:pt idx="22">
                  <c:v>7.3</c:v>
                </c:pt>
                <c:pt idx="24">
                  <c:v>7.61</c:v>
                </c:pt>
                <c:pt idx="25">
                  <c:v>7.6</c:v>
                </c:pt>
                <c:pt idx="26">
                  <c:v>7.6</c:v>
                </c:pt>
                <c:pt idx="30">
                  <c:v>9.5</c:v>
                </c:pt>
                <c:pt idx="31">
                  <c:v>7.12</c:v>
                </c:pt>
                <c:pt idx="33">
                  <c:v>8</c:v>
                </c:pt>
                <c:pt idx="34">
                  <c:v>7.4</c:v>
                </c:pt>
                <c:pt idx="35">
                  <c:v>7.45</c:v>
                </c:pt>
                <c:pt idx="36">
                  <c:v>8</c:v>
                </c:pt>
                <c:pt idx="37">
                  <c:v>7.6</c:v>
                </c:pt>
                <c:pt idx="39">
                  <c:v>8</c:v>
                </c:pt>
                <c:pt idx="41">
                  <c:v>16.600000000000001</c:v>
                </c:pt>
                <c:pt idx="42">
                  <c:v>16.600000000000001</c:v>
                </c:pt>
                <c:pt idx="43">
                  <c:v>16.600000000000001</c:v>
                </c:pt>
                <c:pt idx="44">
                  <c:v>16</c:v>
                </c:pt>
                <c:pt idx="45">
                  <c:v>20</c:v>
                </c:pt>
                <c:pt idx="46">
                  <c:v>16</c:v>
                </c:pt>
                <c:pt idx="47">
                  <c:v>16.600000000000001</c:v>
                </c:pt>
                <c:pt idx="48">
                  <c:v>13.3</c:v>
                </c:pt>
                <c:pt idx="49">
                  <c:v>15.5</c:v>
                </c:pt>
                <c:pt idx="50">
                  <c:v>7.3</c:v>
                </c:pt>
                <c:pt idx="52">
                  <c:v>5</c:v>
                </c:pt>
                <c:pt idx="53">
                  <c:v>5</c:v>
                </c:pt>
                <c:pt idx="54">
                  <c:v>10.55</c:v>
                </c:pt>
                <c:pt idx="55">
                  <c:v>6.2</c:v>
                </c:pt>
                <c:pt idx="56">
                  <c:v>6.2</c:v>
                </c:pt>
                <c:pt idx="57">
                  <c:v>6.2</c:v>
                </c:pt>
                <c:pt idx="58">
                  <c:v>6.2</c:v>
                </c:pt>
                <c:pt idx="59">
                  <c:v>12.4</c:v>
                </c:pt>
                <c:pt idx="61">
                  <c:v>11.2</c:v>
                </c:pt>
                <c:pt idx="62">
                  <c:v>13.3</c:v>
                </c:pt>
                <c:pt idx="63">
                  <c:v>17.2</c:v>
                </c:pt>
                <c:pt idx="64">
                  <c:v>6.2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6F-4D9C-AD51-1814A24E1DFD}"/>
            </c:ext>
          </c:extLst>
        </c:ser>
        <c:ser>
          <c:idx val="1"/>
          <c:order val="1"/>
          <c:spPr>
            <a:ln w="19050">
              <a:noFill/>
            </a:ln>
          </c:spPr>
          <c:xVal>
            <c:numRef>
              <c:f>'Offshore supply vessel'!$B$2</c:f>
              <c:numCache>
                <c:formatCode>General</c:formatCode>
                <c:ptCount val="1"/>
                <c:pt idx="0">
                  <c:v>100</c:v>
                </c:pt>
              </c:numCache>
            </c:numRef>
          </c:xVal>
          <c:yVal>
            <c:numRef>
              <c:f>'Offshore supply vessel'!$B$5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26F-4D9C-AD51-1814A24E1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34272"/>
        <c:axId val="82650624"/>
      </c:scatterChart>
      <c:valAx>
        <c:axId val="8733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L (m)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2650624"/>
        <c:crosses val="autoZero"/>
        <c:crossBetween val="midCat"/>
      </c:valAx>
      <c:valAx>
        <c:axId val="82650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D</a:t>
                </a:r>
                <a:r>
                  <a:rPr lang="fi-FI" baseline="0"/>
                  <a:t> (m)</a:t>
                </a:r>
                <a:endParaRPr lang="fi-FI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873342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0"/>
          </c:trendline>
          <c:xVal>
            <c:numRef>
              <c:f>Cruise!$O$104:$O$342</c:f>
              <c:numCache>
                <c:formatCode>General</c:formatCode>
                <c:ptCount val="239"/>
                <c:pt idx="1">
                  <c:v>25000</c:v>
                </c:pt>
                <c:pt idx="2">
                  <c:v>11033</c:v>
                </c:pt>
                <c:pt idx="5">
                  <c:v>19750</c:v>
                </c:pt>
                <c:pt idx="6">
                  <c:v>12000</c:v>
                </c:pt>
                <c:pt idx="7">
                  <c:v>2700</c:v>
                </c:pt>
                <c:pt idx="8">
                  <c:v>11000</c:v>
                </c:pt>
                <c:pt idx="10">
                  <c:v>10000</c:v>
                </c:pt>
                <c:pt idx="11">
                  <c:v>11142</c:v>
                </c:pt>
                <c:pt idx="13">
                  <c:v>13815</c:v>
                </c:pt>
                <c:pt idx="14">
                  <c:v>7200</c:v>
                </c:pt>
                <c:pt idx="15">
                  <c:v>11000</c:v>
                </c:pt>
                <c:pt idx="16">
                  <c:v>7089</c:v>
                </c:pt>
                <c:pt idx="18">
                  <c:v>13800</c:v>
                </c:pt>
                <c:pt idx="19">
                  <c:v>13415</c:v>
                </c:pt>
                <c:pt idx="20">
                  <c:v>7260</c:v>
                </c:pt>
                <c:pt idx="21">
                  <c:v>6500</c:v>
                </c:pt>
                <c:pt idx="22">
                  <c:v>9500</c:v>
                </c:pt>
                <c:pt idx="24">
                  <c:v>9500</c:v>
                </c:pt>
                <c:pt idx="26">
                  <c:v>9500</c:v>
                </c:pt>
                <c:pt idx="27">
                  <c:v>340</c:v>
                </c:pt>
                <c:pt idx="28">
                  <c:v>4228</c:v>
                </c:pt>
                <c:pt idx="29">
                  <c:v>1465</c:v>
                </c:pt>
                <c:pt idx="30">
                  <c:v>938</c:v>
                </c:pt>
                <c:pt idx="31">
                  <c:v>938</c:v>
                </c:pt>
                <c:pt idx="32">
                  <c:v>2177</c:v>
                </c:pt>
                <c:pt idx="33">
                  <c:v>6795</c:v>
                </c:pt>
                <c:pt idx="34">
                  <c:v>8015</c:v>
                </c:pt>
                <c:pt idx="35">
                  <c:v>645</c:v>
                </c:pt>
                <c:pt idx="36">
                  <c:v>10810</c:v>
                </c:pt>
                <c:pt idx="37">
                  <c:v>10810</c:v>
                </c:pt>
                <c:pt idx="38">
                  <c:v>4500</c:v>
                </c:pt>
                <c:pt idx="39">
                  <c:v>8293</c:v>
                </c:pt>
                <c:pt idx="40">
                  <c:v>14274</c:v>
                </c:pt>
                <c:pt idx="43">
                  <c:v>9500</c:v>
                </c:pt>
                <c:pt idx="44">
                  <c:v>796</c:v>
                </c:pt>
                <c:pt idx="45">
                  <c:v>8100</c:v>
                </c:pt>
                <c:pt idx="46">
                  <c:v>7200</c:v>
                </c:pt>
                <c:pt idx="47">
                  <c:v>9300</c:v>
                </c:pt>
                <c:pt idx="49">
                  <c:v>10937</c:v>
                </c:pt>
                <c:pt idx="50">
                  <c:v>8681</c:v>
                </c:pt>
                <c:pt idx="51">
                  <c:v>9300</c:v>
                </c:pt>
                <c:pt idx="52">
                  <c:v>10500</c:v>
                </c:pt>
                <c:pt idx="53">
                  <c:v>796</c:v>
                </c:pt>
                <c:pt idx="54">
                  <c:v>4850</c:v>
                </c:pt>
                <c:pt idx="55">
                  <c:v>10000</c:v>
                </c:pt>
                <c:pt idx="56">
                  <c:v>20236</c:v>
                </c:pt>
                <c:pt idx="57">
                  <c:v>13188</c:v>
                </c:pt>
                <c:pt idx="58">
                  <c:v>680</c:v>
                </c:pt>
                <c:pt idx="60">
                  <c:v>10600</c:v>
                </c:pt>
                <c:pt idx="62">
                  <c:v>3680</c:v>
                </c:pt>
                <c:pt idx="63">
                  <c:v>480</c:v>
                </c:pt>
                <c:pt idx="64">
                  <c:v>11936</c:v>
                </c:pt>
                <c:pt idx="65">
                  <c:v>9480</c:v>
                </c:pt>
                <c:pt idx="66">
                  <c:v>6000</c:v>
                </c:pt>
                <c:pt idx="67">
                  <c:v>1380</c:v>
                </c:pt>
                <c:pt idx="69">
                  <c:v>10600</c:v>
                </c:pt>
                <c:pt idx="70">
                  <c:v>12000</c:v>
                </c:pt>
                <c:pt idx="71">
                  <c:v>6953</c:v>
                </c:pt>
                <c:pt idx="72">
                  <c:v>6000</c:v>
                </c:pt>
                <c:pt idx="73">
                  <c:v>4700</c:v>
                </c:pt>
                <c:pt idx="75">
                  <c:v>7900</c:v>
                </c:pt>
                <c:pt idx="76">
                  <c:v>12200</c:v>
                </c:pt>
                <c:pt idx="77">
                  <c:v>1226</c:v>
                </c:pt>
                <c:pt idx="78">
                  <c:v>2800</c:v>
                </c:pt>
                <c:pt idx="81">
                  <c:v>13188</c:v>
                </c:pt>
                <c:pt idx="84">
                  <c:v>13188</c:v>
                </c:pt>
                <c:pt idx="86">
                  <c:v>13413</c:v>
                </c:pt>
                <c:pt idx="87">
                  <c:v>790</c:v>
                </c:pt>
                <c:pt idx="88">
                  <c:v>1301</c:v>
                </c:pt>
                <c:pt idx="89">
                  <c:v>2948</c:v>
                </c:pt>
                <c:pt idx="90">
                  <c:v>3342</c:v>
                </c:pt>
                <c:pt idx="92">
                  <c:v>2880</c:v>
                </c:pt>
                <c:pt idx="93">
                  <c:v>11000</c:v>
                </c:pt>
                <c:pt idx="94">
                  <c:v>11000</c:v>
                </c:pt>
                <c:pt idx="96">
                  <c:v>11700</c:v>
                </c:pt>
                <c:pt idx="97">
                  <c:v>11110</c:v>
                </c:pt>
                <c:pt idx="98">
                  <c:v>11700</c:v>
                </c:pt>
                <c:pt idx="99">
                  <c:v>1575</c:v>
                </c:pt>
                <c:pt idx="100">
                  <c:v>3000</c:v>
                </c:pt>
                <c:pt idx="101">
                  <c:v>650</c:v>
                </c:pt>
                <c:pt idx="102">
                  <c:v>10500</c:v>
                </c:pt>
                <c:pt idx="106">
                  <c:v>7685</c:v>
                </c:pt>
                <c:pt idx="107">
                  <c:v>3000</c:v>
                </c:pt>
                <c:pt idx="108">
                  <c:v>10900</c:v>
                </c:pt>
                <c:pt idx="109">
                  <c:v>2700</c:v>
                </c:pt>
                <c:pt idx="110">
                  <c:v>7662</c:v>
                </c:pt>
                <c:pt idx="111">
                  <c:v>2300</c:v>
                </c:pt>
                <c:pt idx="113">
                  <c:v>2700</c:v>
                </c:pt>
                <c:pt idx="114">
                  <c:v>10900</c:v>
                </c:pt>
                <c:pt idx="115">
                  <c:v>2635</c:v>
                </c:pt>
                <c:pt idx="116">
                  <c:v>780</c:v>
                </c:pt>
                <c:pt idx="117">
                  <c:v>3000</c:v>
                </c:pt>
                <c:pt idx="118">
                  <c:v>800</c:v>
                </c:pt>
                <c:pt idx="119">
                  <c:v>450</c:v>
                </c:pt>
                <c:pt idx="120">
                  <c:v>6161</c:v>
                </c:pt>
                <c:pt idx="121">
                  <c:v>2581</c:v>
                </c:pt>
                <c:pt idx="122">
                  <c:v>5400</c:v>
                </c:pt>
                <c:pt idx="123">
                  <c:v>2977</c:v>
                </c:pt>
                <c:pt idx="124">
                  <c:v>4650</c:v>
                </c:pt>
                <c:pt idx="125">
                  <c:v>5340</c:v>
                </c:pt>
                <c:pt idx="126">
                  <c:v>635</c:v>
                </c:pt>
                <c:pt idx="127">
                  <c:v>4000</c:v>
                </c:pt>
                <c:pt idx="128">
                  <c:v>3000</c:v>
                </c:pt>
                <c:pt idx="129">
                  <c:v>4000</c:v>
                </c:pt>
                <c:pt idx="130">
                  <c:v>684</c:v>
                </c:pt>
                <c:pt idx="131">
                  <c:v>5200</c:v>
                </c:pt>
                <c:pt idx="132">
                  <c:v>6000</c:v>
                </c:pt>
                <c:pt idx="133">
                  <c:v>4558</c:v>
                </c:pt>
                <c:pt idx="134">
                  <c:v>4826</c:v>
                </c:pt>
                <c:pt idx="135">
                  <c:v>4912</c:v>
                </c:pt>
                <c:pt idx="136">
                  <c:v>6300</c:v>
                </c:pt>
                <c:pt idx="137">
                  <c:v>5400</c:v>
                </c:pt>
                <c:pt idx="138">
                  <c:v>11132</c:v>
                </c:pt>
                <c:pt idx="139">
                  <c:v>2980</c:v>
                </c:pt>
                <c:pt idx="140">
                  <c:v>1790</c:v>
                </c:pt>
                <c:pt idx="141">
                  <c:v>5143</c:v>
                </c:pt>
              </c:numCache>
            </c:numRef>
          </c:xVal>
          <c:yVal>
            <c:numRef>
              <c:f>Cruise!$AW$104:$AW$342</c:f>
              <c:numCache>
                <c:formatCode>General</c:formatCode>
                <c:ptCount val="239"/>
                <c:pt idx="0">
                  <c:v>6.916038409735549</c:v>
                </c:pt>
                <c:pt idx="1">
                  <c:v>6.6966398998861418</c:v>
                </c:pt>
                <c:pt idx="2">
                  <c:v>6.958688626581683</c:v>
                </c:pt>
                <c:pt idx="3">
                  <c:v>7.5204720387611932</c:v>
                </c:pt>
                <c:pt idx="4">
                  <c:v>6.6966398998861418</c:v>
                </c:pt>
                <c:pt idx="5">
                  <c:v>8.2475781449237697</c:v>
                </c:pt>
                <c:pt idx="6">
                  <c:v>7.7187746830377035</c:v>
                </c:pt>
                <c:pt idx="7">
                  <c:v>6.9110292737338535</c:v>
                </c:pt>
                <c:pt idx="8">
                  <c:v>7.5210488439346435</c:v>
                </c:pt>
                <c:pt idx="9">
                  <c:v>7.65430840236822</c:v>
                </c:pt>
                <c:pt idx="10">
                  <c:v>7.4248524232260964</c:v>
                </c:pt>
                <c:pt idx="11">
                  <c:v>7.1039194579129976</c:v>
                </c:pt>
                <c:pt idx="13">
                  <c:v>7.708341986923867</c:v>
                </c:pt>
                <c:pt idx="14">
                  <c:v>7.3712806909227702</c:v>
                </c:pt>
                <c:pt idx="15">
                  <c:v>7.6393646339986727</c:v>
                </c:pt>
                <c:pt idx="16">
                  <c:v>7.9105171181701506</c:v>
                </c:pt>
                <c:pt idx="17">
                  <c:v>6.9899065907905653</c:v>
                </c:pt>
                <c:pt idx="18">
                  <c:v>8.0936685133287209</c:v>
                </c:pt>
                <c:pt idx="19">
                  <c:v>7.9617813552680232</c:v>
                </c:pt>
                <c:pt idx="20">
                  <c:v>7.2323212895753697</c:v>
                </c:pt>
                <c:pt idx="21">
                  <c:v>7.4602546303932478</c:v>
                </c:pt>
                <c:pt idx="22">
                  <c:v>7.2410325581021873</c:v>
                </c:pt>
                <c:pt idx="23">
                  <c:v>7.8124079968260949</c:v>
                </c:pt>
                <c:pt idx="24">
                  <c:v>7.6358492007833298</c:v>
                </c:pt>
                <c:pt idx="26">
                  <c:v>7.5432660749628244</c:v>
                </c:pt>
                <c:pt idx="27">
                  <c:v>6.287101653327805</c:v>
                </c:pt>
                <c:pt idx="28">
                  <c:v>6.3095994697000197</c:v>
                </c:pt>
                <c:pt idx="29">
                  <c:v>5.6939506943448857</c:v>
                </c:pt>
                <c:pt idx="30">
                  <c:v>6.1000421700570637</c:v>
                </c:pt>
                <c:pt idx="31">
                  <c:v>6.1000421700570637</c:v>
                </c:pt>
                <c:pt idx="32">
                  <c:v>5.2202805434312953</c:v>
                </c:pt>
                <c:pt idx="33">
                  <c:v>6.9183433460626524</c:v>
                </c:pt>
                <c:pt idx="34">
                  <c:v>8.03854137250703</c:v>
                </c:pt>
                <c:pt idx="35">
                  <c:v>5.8873504631375528</c:v>
                </c:pt>
                <c:pt idx="36">
                  <c:v>7.3476077559212563</c:v>
                </c:pt>
                <c:pt idx="37">
                  <c:v>7.3476077559212563</c:v>
                </c:pt>
                <c:pt idx="38">
                  <c:v>7.0794506297447892</c:v>
                </c:pt>
                <c:pt idx="39">
                  <c:v>7.2600854282821619</c:v>
                </c:pt>
                <c:pt idx="40">
                  <c:v>7.3354401573486001</c:v>
                </c:pt>
                <c:pt idx="41">
                  <c:v>8.1899041824341303</c:v>
                </c:pt>
                <c:pt idx="42">
                  <c:v>7.9307592604991157</c:v>
                </c:pt>
                <c:pt idx="43">
                  <c:v>7.5398346770488285</c:v>
                </c:pt>
                <c:pt idx="44">
                  <c:v>6.1756377031561849</c:v>
                </c:pt>
                <c:pt idx="45">
                  <c:v>7.4865471645226087</c:v>
                </c:pt>
                <c:pt idx="46">
                  <c:v>8.1220959990672235</c:v>
                </c:pt>
                <c:pt idx="47">
                  <c:v>7.2674383897291897</c:v>
                </c:pt>
                <c:pt idx="48">
                  <c:v>7.1150947719767421</c:v>
                </c:pt>
                <c:pt idx="49">
                  <c:v>8.0741717446069874</c:v>
                </c:pt>
                <c:pt idx="50">
                  <c:v>6.8056112303415528</c:v>
                </c:pt>
                <c:pt idx="51">
                  <c:v>7.2297198611145825</c:v>
                </c:pt>
                <c:pt idx="52">
                  <c:v>6.9241653718655121</c:v>
                </c:pt>
                <c:pt idx="53">
                  <c:v>6.2171449588679488</c:v>
                </c:pt>
                <c:pt idx="54">
                  <c:v>7.3312366048096314</c:v>
                </c:pt>
                <c:pt idx="55">
                  <c:v>7.7419924395002502</c:v>
                </c:pt>
                <c:pt idx="56">
                  <c:v>7.4076886517101581</c:v>
                </c:pt>
                <c:pt idx="57">
                  <c:v>7.95552646958145</c:v>
                </c:pt>
                <c:pt idx="58">
                  <c:v>6.4468451857250546</c:v>
                </c:pt>
                <c:pt idx="59">
                  <c:v>6.8445702124417434</c:v>
                </c:pt>
                <c:pt idx="60">
                  <c:v>8.7846358188539195</c:v>
                </c:pt>
                <c:pt idx="62">
                  <c:v>6.5883393379763016</c:v>
                </c:pt>
                <c:pt idx="63">
                  <c:v>5.2668798685057734</c:v>
                </c:pt>
                <c:pt idx="64">
                  <c:v>7.8326622524291043</c:v>
                </c:pt>
                <c:pt idx="65">
                  <c:v>7.4151106972472229</c:v>
                </c:pt>
                <c:pt idx="66">
                  <c:v>7.0832043944460743</c:v>
                </c:pt>
                <c:pt idx="67">
                  <c:v>6.9737034382620315</c:v>
                </c:pt>
                <c:pt idx="68">
                  <c:v>6.916038409735549</c:v>
                </c:pt>
                <c:pt idx="69">
                  <c:v>8.618768680097018</c:v>
                </c:pt>
                <c:pt idx="70">
                  <c:v>7.7973781311790189</c:v>
                </c:pt>
                <c:pt idx="71">
                  <c:v>7.5539619951016563</c:v>
                </c:pt>
                <c:pt idx="72">
                  <c:v>7.2688319285378427</c:v>
                </c:pt>
                <c:pt idx="73">
                  <c:v>7.246108081693527</c:v>
                </c:pt>
                <c:pt idx="74">
                  <c:v>6.77655763303577</c:v>
                </c:pt>
                <c:pt idx="75">
                  <c:v>7.5383709185743442</c:v>
                </c:pt>
                <c:pt idx="76">
                  <c:v>7.0406009395569704</c:v>
                </c:pt>
                <c:pt idx="77">
                  <c:v>6.155127548428025</c:v>
                </c:pt>
                <c:pt idx="78">
                  <c:v>7.2778841065327358</c:v>
                </c:pt>
                <c:pt idx="79">
                  <c:v>6.4291107735239521</c:v>
                </c:pt>
                <c:pt idx="80">
                  <c:v>7.9335488933362903</c:v>
                </c:pt>
                <c:pt idx="81">
                  <c:v>9.1611431432783945</c:v>
                </c:pt>
                <c:pt idx="82">
                  <c:v>7.7113105485884477</c:v>
                </c:pt>
                <c:pt idx="83">
                  <c:v>8.0128656768964923</c:v>
                </c:pt>
                <c:pt idx="84">
                  <c:v>7.4956850362158933</c:v>
                </c:pt>
                <c:pt idx="85">
                  <c:v>7.8213559715665237</c:v>
                </c:pt>
                <c:pt idx="86">
                  <c:v>7.9299358883538753</c:v>
                </c:pt>
                <c:pt idx="87">
                  <c:v>6.4688313752595246</c:v>
                </c:pt>
                <c:pt idx="88">
                  <c:v>6.556283316458269</c:v>
                </c:pt>
                <c:pt idx="89">
                  <c:v>6.8524584126769206</c:v>
                </c:pt>
                <c:pt idx="90">
                  <c:v>6.3791806354082619</c:v>
                </c:pt>
                <c:pt idx="91">
                  <c:v>6.8800324875944225</c:v>
                </c:pt>
                <c:pt idx="92">
                  <c:v>6.5720851872123109</c:v>
                </c:pt>
                <c:pt idx="93">
                  <c:v>7.6220682772199888</c:v>
                </c:pt>
                <c:pt idx="94">
                  <c:v>7.8421714535209821</c:v>
                </c:pt>
                <c:pt idx="95">
                  <c:v>7.522467936490532</c:v>
                </c:pt>
                <c:pt idx="96">
                  <c:v>7.494270019440771</c:v>
                </c:pt>
                <c:pt idx="97">
                  <c:v>7.6142475861323291</c:v>
                </c:pt>
                <c:pt idx="98">
                  <c:v>7.5948431420525431</c:v>
                </c:pt>
                <c:pt idx="99">
                  <c:v>6.6016646478225605</c:v>
                </c:pt>
                <c:pt idx="100">
                  <c:v>7.104326216623992</c:v>
                </c:pt>
                <c:pt idx="101">
                  <c:v>6.5506593573551628</c:v>
                </c:pt>
                <c:pt idx="102">
                  <c:v>7.8232364413034849</c:v>
                </c:pt>
                <c:pt idx="105">
                  <c:v>7.8623419641356378</c:v>
                </c:pt>
                <c:pt idx="107">
                  <c:v>7.0638650010293862</c:v>
                </c:pt>
                <c:pt idx="108">
                  <c:v>7.3062170306425589</c:v>
                </c:pt>
                <c:pt idx="109">
                  <c:v>6.8524584126769206</c:v>
                </c:pt>
                <c:pt idx="110">
                  <c:v>7.2688319285378427</c:v>
                </c:pt>
                <c:pt idx="111">
                  <c:v>6.3312393460640859</c:v>
                </c:pt>
                <c:pt idx="112">
                  <c:v>7.7526144615154235</c:v>
                </c:pt>
                <c:pt idx="113">
                  <c:v>6.8333706859126364</c:v>
                </c:pt>
                <c:pt idx="114">
                  <c:v>8.4500047166982544</c:v>
                </c:pt>
                <c:pt idx="115">
                  <c:v>7.0227364199684637</c:v>
                </c:pt>
                <c:pt idx="116">
                  <c:v>6.8299147261024125</c:v>
                </c:pt>
                <c:pt idx="117">
                  <c:v>7.3117387845238051</c:v>
                </c:pt>
                <c:pt idx="118">
                  <c:v>6.7373645194880183</c:v>
                </c:pt>
                <c:pt idx="119">
                  <c:v>6.4792292841944814</c:v>
                </c:pt>
                <c:pt idx="120">
                  <c:v>7.1033273805895814</c:v>
                </c:pt>
                <c:pt idx="121">
                  <c:v>6.7822283117283133</c:v>
                </c:pt>
                <c:pt idx="122">
                  <c:v>6.7784842774302057</c:v>
                </c:pt>
                <c:pt idx="123">
                  <c:v>8.2004326728365431</c:v>
                </c:pt>
                <c:pt idx="124">
                  <c:v>6.6967847673294001</c:v>
                </c:pt>
                <c:pt idx="125">
                  <c:v>6.6237538222619845</c:v>
                </c:pt>
                <c:pt idx="126">
                  <c:v>6.341597427761017</c:v>
                </c:pt>
                <c:pt idx="128">
                  <c:v>7.1004659912086439</c:v>
                </c:pt>
                <c:pt idx="130">
                  <c:v>6.014411088673179</c:v>
                </c:pt>
                <c:pt idx="131">
                  <c:v>7.7841715734420909</c:v>
                </c:pt>
                <c:pt idx="132">
                  <c:v>7.4360467714212781</c:v>
                </c:pt>
                <c:pt idx="133">
                  <c:v>6.6759830067008927</c:v>
                </c:pt>
                <c:pt idx="134">
                  <c:v>7.5219325800191319</c:v>
                </c:pt>
                <c:pt idx="135">
                  <c:v>7.5181961749343031</c:v>
                </c:pt>
                <c:pt idx="136">
                  <c:v>7.7684838419612472</c:v>
                </c:pt>
                <c:pt idx="137">
                  <c:v>6.8558771202718285</c:v>
                </c:pt>
                <c:pt idx="138">
                  <c:v>7.2029443206287427</c:v>
                </c:pt>
                <c:pt idx="139">
                  <c:v>8.2004326728365431</c:v>
                </c:pt>
                <c:pt idx="141">
                  <c:v>7.0421751490060229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3E-4576-993A-D88DB006078C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76200">
                <a:solidFill>
                  <a:srgbClr val="FF0000"/>
                </a:solidFill>
              </a:ln>
              <a:effectLst/>
            </c:spPr>
          </c:marker>
          <c:xVal>
            <c:numRef>
              <c:f>Cruise!$B$6</c:f>
              <c:numCache>
                <c:formatCode>General</c:formatCode>
                <c:ptCount val="1"/>
                <c:pt idx="0">
                  <c:v>9000</c:v>
                </c:pt>
              </c:numCache>
            </c:numRef>
          </c:xVal>
          <c:yVal>
            <c:numRef>
              <c:f>Cruise!$B$13</c:f>
              <c:numCache>
                <c:formatCode>General</c:formatCode>
                <c:ptCount val="1"/>
                <c:pt idx="0">
                  <c:v>7.0683985547737125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584-476A-9B43-B0ED6C63A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270480"/>
        <c:axId val="621269824"/>
      </c:scatterChart>
      <c:valAx>
        <c:axId val="62127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DWT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69824"/>
        <c:crosses val="autoZero"/>
        <c:crossBetween val="midCat"/>
      </c:valAx>
      <c:valAx>
        <c:axId val="62126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L/(V^(1/3))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70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B vs D</c:v>
          </c:tx>
          <c:spPr>
            <a:ln w="28575">
              <a:noFill/>
            </a:ln>
          </c:spPr>
          <c:marker>
            <c:symbol val="diamond"/>
            <c:size val="2"/>
            <c:spPr>
              <a:solidFill>
                <a:schemeClr val="tx1"/>
              </a:solidFill>
              <a:ln>
                <a:noFill/>
              </a:ln>
            </c:spPr>
          </c:marker>
          <c:trendline>
            <c:trendlineType val="power"/>
            <c:dispRSqr val="0"/>
            <c:dispEq val="0"/>
          </c:trendline>
          <c:xVal>
            <c:numRef>
              <c:f>'Offshore supply vessel'!$J$125:$J$189</c:f>
              <c:numCache>
                <c:formatCode>0.00</c:formatCode>
                <c:ptCount val="65"/>
                <c:pt idx="0">
                  <c:v>20.399999999999999</c:v>
                </c:pt>
                <c:pt idx="1">
                  <c:v>19.7</c:v>
                </c:pt>
                <c:pt idx="2">
                  <c:v>19.2</c:v>
                </c:pt>
                <c:pt idx="3">
                  <c:v>22</c:v>
                </c:pt>
                <c:pt idx="4">
                  <c:v>18</c:v>
                </c:pt>
                <c:pt idx="5">
                  <c:v>19</c:v>
                </c:pt>
                <c:pt idx="6">
                  <c:v>19</c:v>
                </c:pt>
                <c:pt idx="7">
                  <c:v>23</c:v>
                </c:pt>
                <c:pt idx="9">
                  <c:v>19</c:v>
                </c:pt>
                <c:pt idx="10">
                  <c:v>19</c:v>
                </c:pt>
                <c:pt idx="11">
                  <c:v>18.8</c:v>
                </c:pt>
                <c:pt idx="12">
                  <c:v>18</c:v>
                </c:pt>
                <c:pt idx="13">
                  <c:v>18</c:v>
                </c:pt>
                <c:pt idx="14">
                  <c:v>18.8</c:v>
                </c:pt>
                <c:pt idx="15">
                  <c:v>18.8</c:v>
                </c:pt>
                <c:pt idx="16">
                  <c:v>18</c:v>
                </c:pt>
                <c:pt idx="17">
                  <c:v>18.5</c:v>
                </c:pt>
                <c:pt idx="19">
                  <c:v>19.899999999999999</c:v>
                </c:pt>
                <c:pt idx="20">
                  <c:v>18.8</c:v>
                </c:pt>
                <c:pt idx="21">
                  <c:v>18.7</c:v>
                </c:pt>
                <c:pt idx="23">
                  <c:v>19</c:v>
                </c:pt>
                <c:pt idx="24">
                  <c:v>19</c:v>
                </c:pt>
                <c:pt idx="25">
                  <c:v>19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18.04</c:v>
                </c:pt>
                <c:pt idx="31">
                  <c:v>18</c:v>
                </c:pt>
                <c:pt idx="32">
                  <c:v>18</c:v>
                </c:pt>
                <c:pt idx="33">
                  <c:v>16</c:v>
                </c:pt>
                <c:pt idx="34">
                  <c:v>16.399999999999999</c:v>
                </c:pt>
                <c:pt idx="35">
                  <c:v>17.2</c:v>
                </c:pt>
                <c:pt idx="36">
                  <c:v>16</c:v>
                </c:pt>
                <c:pt idx="38">
                  <c:v>16.399999999999999</c:v>
                </c:pt>
                <c:pt idx="40">
                  <c:v>16.600000000000001</c:v>
                </c:pt>
                <c:pt idx="41">
                  <c:v>16.600000000000001</c:v>
                </c:pt>
                <c:pt idx="42">
                  <c:v>16.600000000000001</c:v>
                </c:pt>
                <c:pt idx="43">
                  <c:v>16</c:v>
                </c:pt>
                <c:pt idx="44">
                  <c:v>20</c:v>
                </c:pt>
                <c:pt idx="45">
                  <c:v>16</c:v>
                </c:pt>
                <c:pt idx="46">
                  <c:v>16.600000000000001</c:v>
                </c:pt>
                <c:pt idx="47">
                  <c:v>13.3</c:v>
                </c:pt>
                <c:pt idx="48">
                  <c:v>15.5</c:v>
                </c:pt>
                <c:pt idx="50">
                  <c:v>17.5</c:v>
                </c:pt>
                <c:pt idx="52">
                  <c:v>13.3</c:v>
                </c:pt>
                <c:pt idx="53">
                  <c:v>13.3</c:v>
                </c:pt>
                <c:pt idx="54">
                  <c:v>21.7</c:v>
                </c:pt>
                <c:pt idx="55">
                  <c:v>15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59">
                  <c:v>26.5</c:v>
                </c:pt>
                <c:pt idx="60">
                  <c:v>27</c:v>
                </c:pt>
                <c:pt idx="61">
                  <c:v>18.5</c:v>
                </c:pt>
                <c:pt idx="62">
                  <c:v>21</c:v>
                </c:pt>
                <c:pt idx="63">
                  <c:v>30</c:v>
                </c:pt>
                <c:pt idx="64">
                  <c:v>15</c:v>
                </c:pt>
              </c:numCache>
            </c:numRef>
          </c:xVal>
          <c:yVal>
            <c:numRef>
              <c:f>'Offshore supply vessel'!$I$125:$I$190</c:f>
              <c:numCache>
                <c:formatCode>0.00</c:formatCode>
                <c:ptCount val="66"/>
                <c:pt idx="8">
                  <c:v>9.5</c:v>
                </c:pt>
                <c:pt idx="10">
                  <c:v>8.4</c:v>
                </c:pt>
                <c:pt idx="11">
                  <c:v>8</c:v>
                </c:pt>
                <c:pt idx="13">
                  <c:v>8</c:v>
                </c:pt>
                <c:pt idx="14">
                  <c:v>8</c:v>
                </c:pt>
                <c:pt idx="17">
                  <c:v>8</c:v>
                </c:pt>
                <c:pt idx="18">
                  <c:v>8.5</c:v>
                </c:pt>
                <c:pt idx="20">
                  <c:v>8.8000000000000007</c:v>
                </c:pt>
                <c:pt idx="22">
                  <c:v>7.3</c:v>
                </c:pt>
                <c:pt idx="24">
                  <c:v>7.61</c:v>
                </c:pt>
                <c:pt idx="25">
                  <c:v>7.6</c:v>
                </c:pt>
                <c:pt idx="26">
                  <c:v>7.6</c:v>
                </c:pt>
                <c:pt idx="30">
                  <c:v>9.5</c:v>
                </c:pt>
                <c:pt idx="31">
                  <c:v>7.12</c:v>
                </c:pt>
                <c:pt idx="33">
                  <c:v>8</c:v>
                </c:pt>
                <c:pt idx="34">
                  <c:v>7.4</c:v>
                </c:pt>
                <c:pt idx="35">
                  <c:v>7.45</c:v>
                </c:pt>
                <c:pt idx="36">
                  <c:v>8</c:v>
                </c:pt>
                <c:pt idx="37">
                  <c:v>7.6</c:v>
                </c:pt>
                <c:pt idx="39">
                  <c:v>8</c:v>
                </c:pt>
                <c:pt idx="41">
                  <c:v>16.600000000000001</c:v>
                </c:pt>
                <c:pt idx="42">
                  <c:v>16.600000000000001</c:v>
                </c:pt>
                <c:pt idx="43">
                  <c:v>16.600000000000001</c:v>
                </c:pt>
                <c:pt idx="44">
                  <c:v>16</c:v>
                </c:pt>
                <c:pt idx="45">
                  <c:v>20</c:v>
                </c:pt>
                <c:pt idx="46">
                  <c:v>16</c:v>
                </c:pt>
                <c:pt idx="47">
                  <c:v>16.600000000000001</c:v>
                </c:pt>
                <c:pt idx="48">
                  <c:v>13.3</c:v>
                </c:pt>
                <c:pt idx="49">
                  <c:v>15.5</c:v>
                </c:pt>
                <c:pt idx="50">
                  <c:v>7.3</c:v>
                </c:pt>
                <c:pt idx="52">
                  <c:v>5</c:v>
                </c:pt>
                <c:pt idx="53">
                  <c:v>5</c:v>
                </c:pt>
                <c:pt idx="54">
                  <c:v>10.55</c:v>
                </c:pt>
                <c:pt idx="55">
                  <c:v>6.2</c:v>
                </c:pt>
                <c:pt idx="56">
                  <c:v>6.2</c:v>
                </c:pt>
                <c:pt idx="57">
                  <c:v>6.2</c:v>
                </c:pt>
                <c:pt idx="58">
                  <c:v>6.2</c:v>
                </c:pt>
                <c:pt idx="59">
                  <c:v>12.4</c:v>
                </c:pt>
                <c:pt idx="61">
                  <c:v>11.2</c:v>
                </c:pt>
                <c:pt idx="62">
                  <c:v>13.3</c:v>
                </c:pt>
                <c:pt idx="63">
                  <c:v>17.2</c:v>
                </c:pt>
                <c:pt idx="64">
                  <c:v>6.2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667-4176-A30C-702242FE0448}"/>
            </c:ext>
          </c:extLst>
        </c:ser>
        <c:ser>
          <c:idx val="1"/>
          <c:order val="1"/>
          <c:spPr>
            <a:ln w="19050">
              <a:noFill/>
            </a:ln>
          </c:spPr>
          <c:xVal>
            <c:numRef>
              <c:f>'Offshore supply vessel'!$B$3</c:f>
              <c:numCache>
                <c:formatCode>General</c:formatCode>
                <c:ptCount val="1"/>
                <c:pt idx="0">
                  <c:v>20</c:v>
                </c:pt>
              </c:numCache>
            </c:numRef>
          </c:xVal>
          <c:yVal>
            <c:numRef>
              <c:f>'Offshore supply vessel'!$B$5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667-4176-A30C-702242FE0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07392"/>
        <c:axId val="87309312"/>
      </c:scatterChart>
      <c:valAx>
        <c:axId val="87307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B (m)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87309312"/>
        <c:crosses val="autoZero"/>
        <c:crossBetween val="midCat"/>
      </c:valAx>
      <c:valAx>
        <c:axId val="87309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D (m)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873073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L vs T</c:v>
          </c:tx>
          <c:spPr>
            <a:ln w="28575">
              <a:noFill/>
            </a:ln>
          </c:spPr>
          <c:marker>
            <c:symbol val="diamond"/>
            <c:size val="2"/>
            <c:spPr>
              <a:solidFill>
                <a:schemeClr val="tx1"/>
              </a:solidFill>
              <a:ln>
                <a:noFill/>
              </a:ln>
            </c:spPr>
          </c:marker>
          <c:trendline>
            <c:trendlineType val="power"/>
            <c:dispRSqr val="0"/>
            <c:dispEq val="0"/>
          </c:trendline>
          <c:xVal>
            <c:numRef>
              <c:f>'Offshore supply vessel'!$H$141:$H$190</c:f>
              <c:numCache>
                <c:formatCode>0.00</c:formatCode>
                <c:ptCount val="50"/>
                <c:pt idx="38">
                  <c:v>121.25</c:v>
                </c:pt>
                <c:pt idx="39">
                  <c:v>62.4</c:v>
                </c:pt>
                <c:pt idx="40">
                  <c:v>62.4</c:v>
                </c:pt>
                <c:pt idx="41">
                  <c:v>62.4</c:v>
                </c:pt>
                <c:pt idx="42">
                  <c:v>62.4</c:v>
                </c:pt>
                <c:pt idx="43">
                  <c:v>103.68</c:v>
                </c:pt>
                <c:pt idx="44">
                  <c:v>126</c:v>
                </c:pt>
                <c:pt idx="45">
                  <c:v>73.3</c:v>
                </c:pt>
                <c:pt idx="46">
                  <c:v>88.8</c:v>
                </c:pt>
                <c:pt idx="47">
                  <c:v>138.9</c:v>
                </c:pt>
                <c:pt idx="48">
                  <c:v>62.36</c:v>
                </c:pt>
              </c:numCache>
            </c:numRef>
          </c:xVal>
          <c:yVal>
            <c:numRef>
              <c:f>'Offshore supply vessel'!$K$141:$K$190</c:f>
              <c:numCache>
                <c:formatCode>0.00</c:formatCode>
                <c:ptCount val="50"/>
                <c:pt idx="0">
                  <c:v>6.6</c:v>
                </c:pt>
                <c:pt idx="1">
                  <c:v>7</c:v>
                </c:pt>
                <c:pt idx="3">
                  <c:v>7.3</c:v>
                </c:pt>
                <c:pt idx="5">
                  <c:v>6.2</c:v>
                </c:pt>
                <c:pt idx="7">
                  <c:v>6.31</c:v>
                </c:pt>
                <c:pt idx="8">
                  <c:v>6.32</c:v>
                </c:pt>
                <c:pt idx="9">
                  <c:v>6.31</c:v>
                </c:pt>
                <c:pt idx="14">
                  <c:v>4.97</c:v>
                </c:pt>
                <c:pt idx="16">
                  <c:v>6.6</c:v>
                </c:pt>
                <c:pt idx="17">
                  <c:v>6.25</c:v>
                </c:pt>
                <c:pt idx="18">
                  <c:v>6.22</c:v>
                </c:pt>
                <c:pt idx="19">
                  <c:v>6.8</c:v>
                </c:pt>
                <c:pt idx="20">
                  <c:v>6.5</c:v>
                </c:pt>
                <c:pt idx="22">
                  <c:v>6.85</c:v>
                </c:pt>
                <c:pt idx="24">
                  <c:v>7.6</c:v>
                </c:pt>
                <c:pt idx="25">
                  <c:v>7.6</c:v>
                </c:pt>
                <c:pt idx="26">
                  <c:v>7.6</c:v>
                </c:pt>
                <c:pt idx="27">
                  <c:v>7.5</c:v>
                </c:pt>
                <c:pt idx="28">
                  <c:v>8.4</c:v>
                </c:pt>
                <c:pt idx="29">
                  <c:v>7</c:v>
                </c:pt>
                <c:pt idx="30">
                  <c:v>7.6</c:v>
                </c:pt>
                <c:pt idx="31">
                  <c:v>5</c:v>
                </c:pt>
                <c:pt idx="32">
                  <c:v>7.32</c:v>
                </c:pt>
                <c:pt idx="34">
                  <c:v>5.77</c:v>
                </c:pt>
                <c:pt idx="36">
                  <c:v>4.0999999999999996</c:v>
                </c:pt>
                <c:pt idx="37">
                  <c:v>4.0999999999999996</c:v>
                </c:pt>
                <c:pt idx="38">
                  <c:v>7.65</c:v>
                </c:pt>
                <c:pt idx="39">
                  <c:v>4.3</c:v>
                </c:pt>
                <c:pt idx="40">
                  <c:v>4.3</c:v>
                </c:pt>
                <c:pt idx="41">
                  <c:v>4.3</c:v>
                </c:pt>
                <c:pt idx="42">
                  <c:v>4.3</c:v>
                </c:pt>
                <c:pt idx="43">
                  <c:v>8.5</c:v>
                </c:pt>
                <c:pt idx="44">
                  <c:v>9.1999999999999993</c:v>
                </c:pt>
                <c:pt idx="45">
                  <c:v>9.1</c:v>
                </c:pt>
                <c:pt idx="46">
                  <c:v>10.5</c:v>
                </c:pt>
                <c:pt idx="47">
                  <c:v>11</c:v>
                </c:pt>
                <c:pt idx="48">
                  <c:v>4.3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45-4B2B-AB41-B3556A80CC75}"/>
            </c:ext>
          </c:extLst>
        </c:ser>
        <c:ser>
          <c:idx val="1"/>
          <c:order val="1"/>
          <c:spPr>
            <a:ln w="19050">
              <a:noFill/>
            </a:ln>
          </c:spPr>
          <c:xVal>
            <c:numRef>
              <c:f>'Offshore supply vessel'!$B$2</c:f>
              <c:numCache>
                <c:formatCode>General</c:formatCode>
                <c:ptCount val="1"/>
                <c:pt idx="0">
                  <c:v>100</c:v>
                </c:pt>
              </c:numCache>
            </c:numRef>
          </c:xVal>
          <c:yVal>
            <c:numRef>
              <c:f>'Offshore supply vessel'!$B$4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F45-4B2B-AB41-B3556A80C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668928"/>
        <c:axId val="82679296"/>
      </c:scatterChart>
      <c:valAx>
        <c:axId val="82668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L</a:t>
                </a:r>
                <a:r>
                  <a:rPr lang="fi-FI" baseline="0"/>
                  <a:t> (m)</a:t>
                </a:r>
                <a:endParaRPr lang="fi-FI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82679296"/>
        <c:crosses val="autoZero"/>
        <c:crossBetween val="midCat"/>
      </c:valAx>
      <c:valAx>
        <c:axId val="826792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T</a:t>
                </a:r>
                <a:r>
                  <a:rPr lang="fi-FI" baseline="0"/>
                  <a:t> (m)</a:t>
                </a:r>
                <a:endParaRPr lang="fi-FI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826689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Disp vs P</c:v>
          </c:tx>
          <c:spPr>
            <a:ln w="28575">
              <a:noFill/>
            </a:ln>
          </c:spPr>
          <c:marker>
            <c:symbol val="diamond"/>
            <c:size val="2"/>
            <c:spPr>
              <a:solidFill>
                <a:schemeClr val="tx1"/>
              </a:solidFill>
              <a:ln>
                <a:noFill/>
              </a:ln>
            </c:spPr>
          </c:marker>
          <c:trendline>
            <c:trendlineType val="poly"/>
            <c:order val="2"/>
            <c:dispRSqr val="0"/>
            <c:dispEq val="0"/>
          </c:trendline>
          <c:xVal>
            <c:numRef>
              <c:f>'Offshore supply vessel'!$M$141:$M$190</c:f>
              <c:numCache>
                <c:formatCode>General</c:formatCode>
                <c:ptCount val="50"/>
                <c:pt idx="38">
                  <c:v>13687</c:v>
                </c:pt>
                <c:pt idx="39">
                  <c:v>2760</c:v>
                </c:pt>
                <c:pt idx="40">
                  <c:v>2760</c:v>
                </c:pt>
                <c:pt idx="41">
                  <c:v>2760</c:v>
                </c:pt>
                <c:pt idx="42">
                  <c:v>2760</c:v>
                </c:pt>
                <c:pt idx="43">
                  <c:v>14300</c:v>
                </c:pt>
                <c:pt idx="44">
                  <c:v>12701</c:v>
                </c:pt>
                <c:pt idx="45">
                  <c:v>6533</c:v>
                </c:pt>
                <c:pt idx="46">
                  <c:v>10874</c:v>
                </c:pt>
                <c:pt idx="47">
                  <c:v>25840</c:v>
                </c:pt>
                <c:pt idx="48">
                  <c:v>2696</c:v>
                </c:pt>
              </c:numCache>
            </c:numRef>
          </c:xVal>
          <c:yVal>
            <c:numRef>
              <c:f>'Offshore supply vessel'!$U$141:$U$190</c:f>
              <c:numCache>
                <c:formatCode>General</c:formatCode>
                <c:ptCount val="50"/>
                <c:pt idx="0">
                  <c:v>6.7</c:v>
                </c:pt>
                <c:pt idx="1">
                  <c:v>16.399999999999999</c:v>
                </c:pt>
                <c:pt idx="2">
                  <c:v>10</c:v>
                </c:pt>
                <c:pt idx="3">
                  <c:v>15</c:v>
                </c:pt>
                <c:pt idx="4">
                  <c:v>15</c:v>
                </c:pt>
                <c:pt idx="5">
                  <c:v>13</c:v>
                </c:pt>
                <c:pt idx="6">
                  <c:v>3.8</c:v>
                </c:pt>
                <c:pt idx="7">
                  <c:v>10</c:v>
                </c:pt>
                <c:pt idx="8">
                  <c:v>13.4</c:v>
                </c:pt>
                <c:pt idx="9">
                  <c:v>13.4</c:v>
                </c:pt>
                <c:pt idx="10">
                  <c:v>13.4</c:v>
                </c:pt>
                <c:pt idx="11">
                  <c:v>22.4</c:v>
                </c:pt>
                <c:pt idx="12">
                  <c:v>10</c:v>
                </c:pt>
                <c:pt idx="13">
                  <c:v>5.8</c:v>
                </c:pt>
                <c:pt idx="14">
                  <c:v>16.2</c:v>
                </c:pt>
                <c:pt idx="15">
                  <c:v>15</c:v>
                </c:pt>
                <c:pt idx="16">
                  <c:v>15</c:v>
                </c:pt>
                <c:pt idx="17">
                  <c:v>9.9</c:v>
                </c:pt>
                <c:pt idx="18">
                  <c:v>6.3</c:v>
                </c:pt>
                <c:pt idx="19">
                  <c:v>36.799999999999997</c:v>
                </c:pt>
                <c:pt idx="20">
                  <c:v>10</c:v>
                </c:pt>
                <c:pt idx="21">
                  <c:v>17.7</c:v>
                </c:pt>
                <c:pt idx="22">
                  <c:v>13.9</c:v>
                </c:pt>
                <c:pt idx="23">
                  <c:v>12</c:v>
                </c:pt>
                <c:pt idx="24">
                  <c:v>15</c:v>
                </c:pt>
                <c:pt idx="25">
                  <c:v>15</c:v>
                </c:pt>
                <c:pt idx="26">
                  <c:v>5.3</c:v>
                </c:pt>
                <c:pt idx="27">
                  <c:v>9</c:v>
                </c:pt>
                <c:pt idx="28">
                  <c:v>7</c:v>
                </c:pt>
                <c:pt idx="29">
                  <c:v>17.7</c:v>
                </c:pt>
                <c:pt idx="30">
                  <c:v>17.100000000000001</c:v>
                </c:pt>
                <c:pt idx="31">
                  <c:v>7.1</c:v>
                </c:pt>
                <c:pt idx="32">
                  <c:v>10</c:v>
                </c:pt>
                <c:pt idx="33">
                  <c:v>7</c:v>
                </c:pt>
                <c:pt idx="34">
                  <c:v>11.2</c:v>
                </c:pt>
                <c:pt idx="35">
                  <c:v>7</c:v>
                </c:pt>
                <c:pt idx="36">
                  <c:v>14</c:v>
                </c:pt>
                <c:pt idx="37">
                  <c:v>7.3</c:v>
                </c:pt>
                <c:pt idx="38">
                  <c:v>9</c:v>
                </c:pt>
                <c:pt idx="39">
                  <c:v>5.3</c:v>
                </c:pt>
                <c:pt idx="40">
                  <c:v>5.3</c:v>
                </c:pt>
                <c:pt idx="41">
                  <c:v>5.3</c:v>
                </c:pt>
                <c:pt idx="42">
                  <c:v>5.3</c:v>
                </c:pt>
                <c:pt idx="43">
                  <c:v>16</c:v>
                </c:pt>
                <c:pt idx="44">
                  <c:v>22.1</c:v>
                </c:pt>
                <c:pt idx="45">
                  <c:v>10.4</c:v>
                </c:pt>
                <c:pt idx="46">
                  <c:v>16.8</c:v>
                </c:pt>
                <c:pt idx="47">
                  <c:v>52.8</c:v>
                </c:pt>
                <c:pt idx="48">
                  <c:v>5.3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1ED-4AFE-86E1-B736A467C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918080"/>
        <c:axId val="89932544"/>
      </c:scatterChart>
      <c:valAx>
        <c:axId val="89918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Displacement</a:t>
                </a:r>
                <a:r>
                  <a:rPr lang="fi-FI" baseline="0"/>
                  <a:t> (t)</a:t>
                </a:r>
                <a:endParaRPr lang="fi-FI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9932544"/>
        <c:crosses val="autoZero"/>
        <c:crossBetween val="midCat"/>
      </c:valAx>
      <c:valAx>
        <c:axId val="89932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P</a:t>
                </a:r>
                <a:r>
                  <a:rPr lang="fi-FI" baseline="0"/>
                  <a:t> (MW)</a:t>
                </a:r>
                <a:endParaRPr lang="fi-FI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99180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2"/>
            <c:spPr>
              <a:solidFill>
                <a:schemeClr val="tx1"/>
              </a:solidFill>
              <a:ln>
                <a:noFill/>
              </a:ln>
            </c:spPr>
          </c:marker>
          <c:trendline>
            <c:trendlineType val="linear"/>
            <c:dispRSqr val="0"/>
            <c:dispEq val="0"/>
          </c:trendline>
          <c:xVal>
            <c:numRef>
              <c:f>'Offshore supply vessel'!$N$142:$N$190</c:f>
              <c:numCache>
                <c:formatCode>General</c:formatCode>
                <c:ptCount val="49"/>
                <c:pt idx="0">
                  <c:v>3180</c:v>
                </c:pt>
                <c:pt idx="2">
                  <c:v>3671</c:v>
                </c:pt>
                <c:pt idx="3">
                  <c:v>4560</c:v>
                </c:pt>
                <c:pt idx="4">
                  <c:v>4200</c:v>
                </c:pt>
                <c:pt idx="6">
                  <c:v>4679</c:v>
                </c:pt>
                <c:pt idx="7">
                  <c:v>4679</c:v>
                </c:pt>
                <c:pt idx="8">
                  <c:v>4679</c:v>
                </c:pt>
                <c:pt idx="10">
                  <c:v>3694</c:v>
                </c:pt>
                <c:pt idx="11">
                  <c:v>3694</c:v>
                </c:pt>
                <c:pt idx="12">
                  <c:v>3620</c:v>
                </c:pt>
                <c:pt idx="14">
                  <c:v>4200</c:v>
                </c:pt>
                <c:pt idx="15">
                  <c:v>2851</c:v>
                </c:pt>
                <c:pt idx="17">
                  <c:v>3250</c:v>
                </c:pt>
                <c:pt idx="18">
                  <c:v>3000</c:v>
                </c:pt>
                <c:pt idx="19">
                  <c:v>2881</c:v>
                </c:pt>
                <c:pt idx="21">
                  <c:v>2783</c:v>
                </c:pt>
                <c:pt idx="23">
                  <c:v>3500</c:v>
                </c:pt>
                <c:pt idx="24">
                  <c:v>3550</c:v>
                </c:pt>
                <c:pt idx="25">
                  <c:v>3500</c:v>
                </c:pt>
                <c:pt idx="27">
                  <c:v>3500</c:v>
                </c:pt>
                <c:pt idx="28">
                  <c:v>3300</c:v>
                </c:pt>
                <c:pt idx="29">
                  <c:v>3800</c:v>
                </c:pt>
                <c:pt idx="33">
                  <c:v>3100</c:v>
                </c:pt>
                <c:pt idx="35">
                  <c:v>900</c:v>
                </c:pt>
                <c:pt idx="36">
                  <c:v>800</c:v>
                </c:pt>
                <c:pt idx="37">
                  <c:v>4780</c:v>
                </c:pt>
                <c:pt idx="38">
                  <c:v>893</c:v>
                </c:pt>
                <c:pt idx="39">
                  <c:v>893</c:v>
                </c:pt>
                <c:pt idx="40">
                  <c:v>893</c:v>
                </c:pt>
                <c:pt idx="41">
                  <c:v>893</c:v>
                </c:pt>
                <c:pt idx="42">
                  <c:v>7107</c:v>
                </c:pt>
                <c:pt idx="44">
                  <c:v>1930</c:v>
                </c:pt>
                <c:pt idx="45">
                  <c:v>4643</c:v>
                </c:pt>
                <c:pt idx="47">
                  <c:v>980</c:v>
                </c:pt>
              </c:numCache>
            </c:numRef>
          </c:xVal>
          <c:yVal>
            <c:numRef>
              <c:f>'Offshore supply vessel'!$Y$142:$Y$190</c:f>
              <c:numCache>
                <c:formatCode>General</c:formatCode>
                <c:ptCount val="49"/>
                <c:pt idx="37">
                  <c:v>5.1107771762859633</c:v>
                </c:pt>
                <c:pt idx="38">
                  <c:v>4.4852795639548821</c:v>
                </c:pt>
                <c:pt idx="39">
                  <c:v>4.4852795639548821</c:v>
                </c:pt>
                <c:pt idx="40">
                  <c:v>4.4852795639548821</c:v>
                </c:pt>
                <c:pt idx="41">
                  <c:v>4.4852795639548821</c:v>
                </c:pt>
                <c:pt idx="42">
                  <c:v>4.3068286938289999</c:v>
                </c:pt>
                <c:pt idx="43">
                  <c:v>5.4450164344608734</c:v>
                </c:pt>
                <c:pt idx="44">
                  <c:v>3.9534329450455008</c:v>
                </c:pt>
                <c:pt idx="45">
                  <c:v>4.0413315191745447</c:v>
                </c:pt>
                <c:pt idx="46">
                  <c:v>4.7371015815538211</c:v>
                </c:pt>
                <c:pt idx="47">
                  <c:v>4.5175964386228697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DB-4A2D-87E9-22B80072F6CE}"/>
            </c:ext>
          </c:extLst>
        </c:ser>
        <c:ser>
          <c:idx val="1"/>
          <c:order val="1"/>
          <c:spPr>
            <a:ln w="19050">
              <a:noFill/>
            </a:ln>
          </c:spPr>
          <c:xVal>
            <c:numRef>
              <c:f>'Offshore supply vessel'!$B$6</c:f>
              <c:numCache>
                <c:formatCode>General</c:formatCode>
                <c:ptCount val="1"/>
                <c:pt idx="0">
                  <c:v>2000</c:v>
                </c:pt>
              </c:numCache>
            </c:numRef>
          </c:xVal>
          <c:yVal>
            <c:numRef>
              <c:f>'Offshore supply vessel'!$B$13</c:f>
              <c:numCache>
                <c:formatCode>General</c:formatCode>
                <c:ptCount val="1"/>
                <c:pt idx="0">
                  <c:v>5.1087295492903531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EDB-4A2D-87E9-22B80072F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768832"/>
        <c:axId val="81770752"/>
      </c:scatterChart>
      <c:valAx>
        <c:axId val="81768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DWT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770752"/>
        <c:crosses val="autoZero"/>
        <c:crossBetween val="midCat"/>
      </c:valAx>
      <c:valAx>
        <c:axId val="81770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 baseline="0"/>
                  <a:t>L/(V^(1/3))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7688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2"/>
            <c:spPr>
              <a:solidFill>
                <a:schemeClr val="tx1"/>
              </a:solidFill>
              <a:ln>
                <a:noFill/>
              </a:ln>
            </c:spPr>
          </c:marker>
          <c:trendline>
            <c:trendlineType val="linear"/>
            <c:dispRSqr val="0"/>
            <c:dispEq val="0"/>
          </c:trendline>
          <c:xVal>
            <c:numRef>
              <c:f>'Offshore supply vessel'!$P$142:$P$190</c:f>
              <c:numCache>
                <c:formatCode>General</c:formatCode>
                <c:ptCount val="49"/>
                <c:pt idx="0">
                  <c:v>4.6594594594594598</c:v>
                </c:pt>
                <c:pt idx="1">
                  <c:v>0</c:v>
                </c:pt>
                <c:pt idx="2">
                  <c:v>4.3216080402010055</c:v>
                </c:pt>
                <c:pt idx="3">
                  <c:v>4.4893617021276597</c:v>
                </c:pt>
                <c:pt idx="4">
                  <c:v>4.4919786096256686</c:v>
                </c:pt>
                <c:pt idx="5">
                  <c:v>0</c:v>
                </c:pt>
                <c:pt idx="6">
                  <c:v>4.3578947368421055</c:v>
                </c:pt>
                <c:pt idx="7">
                  <c:v>4.3578947368421055</c:v>
                </c:pt>
                <c:pt idx="8">
                  <c:v>4.3578947368421055</c:v>
                </c:pt>
                <c:pt idx="9">
                  <c:v>0</c:v>
                </c:pt>
                <c:pt idx="10">
                  <c:v>4.1049999999999995</c:v>
                </c:pt>
                <c:pt idx="11">
                  <c:v>4.1049999999999995</c:v>
                </c:pt>
                <c:pt idx="12">
                  <c:v>4.1049999999999995</c:v>
                </c:pt>
                <c:pt idx="13">
                  <c:v>4.4955654101995561</c:v>
                </c:pt>
                <c:pt idx="14">
                  <c:v>4.4666666666666668</c:v>
                </c:pt>
                <c:pt idx="15">
                  <c:v>4.4444444444444446</c:v>
                </c:pt>
                <c:pt idx="16">
                  <c:v>4.6875</c:v>
                </c:pt>
                <c:pt idx="17">
                  <c:v>4.5609756097560981</c:v>
                </c:pt>
                <c:pt idx="18">
                  <c:v>4.3313953488372094</c:v>
                </c:pt>
                <c:pt idx="19">
                  <c:v>4.6187500000000004</c:v>
                </c:pt>
                <c:pt idx="20">
                  <c:v>0</c:v>
                </c:pt>
                <c:pt idx="21">
                  <c:v>4.4878048780487809</c:v>
                </c:pt>
                <c:pt idx="22">
                  <c:v>0</c:v>
                </c:pt>
                <c:pt idx="23">
                  <c:v>4.4216867469879517</c:v>
                </c:pt>
                <c:pt idx="24">
                  <c:v>4.4216867469879517</c:v>
                </c:pt>
                <c:pt idx="25">
                  <c:v>4.4216867469879517</c:v>
                </c:pt>
                <c:pt idx="26">
                  <c:v>4.5812499999999998</c:v>
                </c:pt>
                <c:pt idx="27">
                  <c:v>3.66</c:v>
                </c:pt>
                <c:pt idx="28">
                  <c:v>4.5</c:v>
                </c:pt>
                <c:pt idx="29">
                  <c:v>4.2409638554216871</c:v>
                </c:pt>
                <c:pt idx="30">
                  <c:v>5.2330827067669166</c:v>
                </c:pt>
                <c:pt idx="31">
                  <c:v>4.4709677419354836</c:v>
                </c:pt>
                <c:pt idx="32">
                  <c:v>0</c:v>
                </c:pt>
                <c:pt idx="33">
                  <c:v>3.9314285714285711</c:v>
                </c:pt>
                <c:pt idx="34">
                  <c:v>0</c:v>
                </c:pt>
                <c:pt idx="35">
                  <c:v>4.511278195488722</c:v>
                </c:pt>
                <c:pt idx="36">
                  <c:v>4.511278195488722</c:v>
                </c:pt>
                <c:pt idx="37">
                  <c:v>5.5875576036866361</c:v>
                </c:pt>
                <c:pt idx="38">
                  <c:v>4.16</c:v>
                </c:pt>
                <c:pt idx="39">
                  <c:v>4.16</c:v>
                </c:pt>
                <c:pt idx="40">
                  <c:v>4.16</c:v>
                </c:pt>
                <c:pt idx="41">
                  <c:v>4.16</c:v>
                </c:pt>
                <c:pt idx="42">
                  <c:v>3.9124528301886796</c:v>
                </c:pt>
                <c:pt idx="43">
                  <c:v>4.666666666666667</c:v>
                </c:pt>
                <c:pt idx="44">
                  <c:v>3.9621621621621621</c:v>
                </c:pt>
                <c:pt idx="45">
                  <c:v>4.2285714285714286</c:v>
                </c:pt>
                <c:pt idx="46">
                  <c:v>4.63</c:v>
                </c:pt>
                <c:pt idx="47">
                  <c:v>4.1573333333333329</c:v>
                </c:pt>
              </c:numCache>
            </c:numRef>
          </c:xVal>
          <c:yVal>
            <c:numRef>
              <c:f>'Offshore supply vessel'!$W$142:$W$190</c:f>
              <c:numCache>
                <c:formatCode>0.00</c:formatCode>
                <c:ptCount val="49"/>
                <c:pt idx="0">
                  <c:v>0.28281013235378688</c:v>
                </c:pt>
                <c:pt idx="1">
                  <c:v>0</c:v>
                </c:pt>
                <c:pt idx="2">
                  <c:v>0.26544261597713892</c:v>
                </c:pt>
                <c:pt idx="3">
                  <c:v>0.26794684705811467</c:v>
                </c:pt>
                <c:pt idx="4">
                  <c:v>0.26858405805799573</c:v>
                </c:pt>
                <c:pt idx="5">
                  <c:v>0.26906496096422855</c:v>
                </c:pt>
                <c:pt idx="6">
                  <c:v>0.31561053803741995</c:v>
                </c:pt>
                <c:pt idx="7">
                  <c:v>0.28855820620564104</c:v>
                </c:pt>
                <c:pt idx="8">
                  <c:v>0.28855820620564104</c:v>
                </c:pt>
                <c:pt idx="9">
                  <c:v>0.28917002195943187</c:v>
                </c:pt>
                <c:pt idx="10">
                  <c:v>0.30789735501583909</c:v>
                </c:pt>
                <c:pt idx="11">
                  <c:v>0.29884155045654975</c:v>
                </c:pt>
                <c:pt idx="12">
                  <c:v>0</c:v>
                </c:pt>
                <c:pt idx="13">
                  <c:v>0.34623565508027671</c:v>
                </c:pt>
                <c:pt idx="14">
                  <c:v>0.30198441844190738</c:v>
                </c:pt>
                <c:pt idx="15">
                  <c:v>0.30273843813861084</c:v>
                </c:pt>
                <c:pt idx="16">
                  <c:v>0.31266691444471573</c:v>
                </c:pt>
                <c:pt idx="17">
                  <c:v>0.22769791949060988</c:v>
                </c:pt>
                <c:pt idx="18">
                  <c:v>0.38025985179229582</c:v>
                </c:pt>
                <c:pt idx="19">
                  <c:v>0.2481702672672709</c:v>
                </c:pt>
                <c:pt idx="20">
                  <c:v>0.30564719678311375</c:v>
                </c:pt>
                <c:pt idx="21">
                  <c:v>0.30606219656255235</c:v>
                </c:pt>
                <c:pt idx="22">
                  <c:v>0.30647889137302958</c:v>
                </c:pt>
                <c:pt idx="23">
                  <c:v>0.35436621815006542</c:v>
                </c:pt>
                <c:pt idx="24">
                  <c:v>0.35436621815006542</c:v>
                </c:pt>
                <c:pt idx="25">
                  <c:v>0</c:v>
                </c:pt>
                <c:pt idx="26">
                  <c:v>0.13417594663649629</c:v>
                </c:pt>
                <c:pt idx="27">
                  <c:v>0.31648783318425872</c:v>
                </c:pt>
                <c:pt idx="28">
                  <c:v>0.30944420195555422</c:v>
                </c:pt>
                <c:pt idx="29">
                  <c:v>0.27382325039800809</c:v>
                </c:pt>
                <c:pt idx="30">
                  <c:v>0.23605067222226983</c:v>
                </c:pt>
                <c:pt idx="31">
                  <c:v>0.32921413160452551</c:v>
                </c:pt>
                <c:pt idx="32">
                  <c:v>0.32574183295743941</c:v>
                </c:pt>
                <c:pt idx="33">
                  <c:v>0.27698894227678539</c:v>
                </c:pt>
                <c:pt idx="34">
                  <c:v>0.33457378501652146</c:v>
                </c:pt>
                <c:pt idx="35">
                  <c:v>0.3283860412942175</c:v>
                </c:pt>
                <c:pt idx="36">
                  <c:v>0.25423435455036197</c:v>
                </c:pt>
                <c:pt idx="37">
                  <c:v>0.22665867207836368</c:v>
                </c:pt>
                <c:pt idx="38">
                  <c:v>0.26461550588185317</c:v>
                </c:pt>
                <c:pt idx="39">
                  <c:v>0.26461550588185317</c:v>
                </c:pt>
                <c:pt idx="40">
                  <c:v>0.26461550588185317</c:v>
                </c:pt>
                <c:pt idx="41">
                  <c:v>0.26461550588185317</c:v>
                </c:pt>
                <c:pt idx="42">
                  <c:v>0.24592131491778102</c:v>
                </c:pt>
                <c:pt idx="43">
                  <c:v>0.20954646132111254</c:v>
                </c:pt>
                <c:pt idx="44">
                  <c:v>0.27250520062503769</c:v>
                </c:pt>
                <c:pt idx="45">
                  <c:v>0.24616135530183592</c:v>
                </c:pt>
                <c:pt idx="46">
                  <c:v>0.27279189739094217</c:v>
                </c:pt>
                <c:pt idx="47">
                  <c:v>0.26461550588185317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E5A-481F-9FA9-351521007B05}"/>
            </c:ext>
          </c:extLst>
        </c:ser>
        <c:ser>
          <c:idx val="1"/>
          <c:order val="1"/>
          <c:spPr>
            <a:ln w="19050">
              <a:noFill/>
            </a:ln>
          </c:spPr>
          <c:xVal>
            <c:numRef>
              <c:f>'Offshore supply vessel'!$B$10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'Offshore supply vessel'!$B$14</c:f>
              <c:numCache>
                <c:formatCode>General</c:formatCode>
                <c:ptCount val="1"/>
                <c:pt idx="0">
                  <c:v>0.29564904670492881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E5A-481F-9FA9-351521007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768832"/>
        <c:axId val="81770752"/>
      </c:scatterChart>
      <c:valAx>
        <c:axId val="81768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L/B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770752"/>
        <c:crosses val="autoZero"/>
        <c:crossBetween val="midCat"/>
      </c:valAx>
      <c:valAx>
        <c:axId val="81770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 baseline="0"/>
                  <a:t>Fn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817688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2"/>
            <c:spPr>
              <a:solidFill>
                <a:schemeClr val="tx1"/>
              </a:solidFill>
              <a:ln>
                <a:noFill/>
              </a:ln>
            </c:spPr>
          </c:marker>
          <c:trendline>
            <c:trendlineType val="linear"/>
            <c:dispRSqr val="0"/>
            <c:dispEq val="0"/>
          </c:trendline>
          <c:xVal>
            <c:numRef>
              <c:f>'Offshore supply vessel'!$Q$142:$Q$190</c:f>
              <c:numCache>
                <c:formatCode>General</c:formatCode>
                <c:ptCount val="49"/>
                <c:pt idx="0">
                  <c:v>2.6428571428571428</c:v>
                </c:pt>
                <c:pt idx="2">
                  <c:v>2.7260273972602738</c:v>
                </c:pt>
                <c:pt idx="4">
                  <c:v>3.0161290322580645</c:v>
                </c:pt>
                <c:pt idx="6">
                  <c:v>3.0110935023771792</c:v>
                </c:pt>
                <c:pt idx="7">
                  <c:v>3.0063291139240507</c:v>
                </c:pt>
                <c:pt idx="8">
                  <c:v>3.0110935023771792</c:v>
                </c:pt>
                <c:pt idx="15">
                  <c:v>2.7272727272727275</c:v>
                </c:pt>
                <c:pt idx="16">
                  <c:v>2.56</c:v>
                </c:pt>
                <c:pt idx="17">
                  <c:v>2.6366559485530545</c:v>
                </c:pt>
                <c:pt idx="18">
                  <c:v>2.5294117647058822</c:v>
                </c:pt>
                <c:pt idx="19">
                  <c:v>2.4615384615384617</c:v>
                </c:pt>
                <c:pt idx="20">
                  <c:v>0</c:v>
                </c:pt>
                <c:pt idx="21">
                  <c:v>2.3941605839416056</c:v>
                </c:pt>
                <c:pt idx="22">
                  <c:v>0</c:v>
                </c:pt>
                <c:pt idx="23">
                  <c:v>2.1842105263157898</c:v>
                </c:pt>
                <c:pt idx="24">
                  <c:v>2.1842105263157898</c:v>
                </c:pt>
                <c:pt idx="25">
                  <c:v>2.1842105263157898</c:v>
                </c:pt>
                <c:pt idx="26">
                  <c:v>2.1333333333333333</c:v>
                </c:pt>
                <c:pt idx="27">
                  <c:v>2.3809523809523809</c:v>
                </c:pt>
                <c:pt idx="28">
                  <c:v>2.2857142857142856</c:v>
                </c:pt>
                <c:pt idx="29">
                  <c:v>2.1842105263157898</c:v>
                </c:pt>
                <c:pt idx="30">
                  <c:v>2.66</c:v>
                </c:pt>
                <c:pt idx="31">
                  <c:v>2.1174863387978142</c:v>
                </c:pt>
                <c:pt idx="33">
                  <c:v>3.0329289428076258</c:v>
                </c:pt>
                <c:pt idx="35">
                  <c:v>3.2439024390243909</c:v>
                </c:pt>
                <c:pt idx="36">
                  <c:v>3.2439024390243909</c:v>
                </c:pt>
                <c:pt idx="37">
                  <c:v>2.8366013071895422</c:v>
                </c:pt>
                <c:pt idx="38">
                  <c:v>3.4883720930232558</c:v>
                </c:pt>
                <c:pt idx="39">
                  <c:v>3.4883720930232558</c:v>
                </c:pt>
                <c:pt idx="40">
                  <c:v>3.4883720930232558</c:v>
                </c:pt>
                <c:pt idx="41">
                  <c:v>3.4883720930232558</c:v>
                </c:pt>
                <c:pt idx="42">
                  <c:v>3.1176470588235294</c:v>
                </c:pt>
                <c:pt idx="43">
                  <c:v>2.9347826086956523</c:v>
                </c:pt>
                <c:pt idx="44">
                  <c:v>2.0329670329670328</c:v>
                </c:pt>
                <c:pt idx="45">
                  <c:v>2</c:v>
                </c:pt>
                <c:pt idx="46">
                  <c:v>2.7272727272727271</c:v>
                </c:pt>
                <c:pt idx="47">
                  <c:v>3.4883720930232558</c:v>
                </c:pt>
              </c:numCache>
            </c:numRef>
          </c:xVal>
          <c:yVal>
            <c:numRef>
              <c:f>'Offshore supply vessel'!$W$142:$W$190</c:f>
              <c:numCache>
                <c:formatCode>0.00</c:formatCode>
                <c:ptCount val="49"/>
                <c:pt idx="0">
                  <c:v>0.28281013235378688</c:v>
                </c:pt>
                <c:pt idx="1">
                  <c:v>0</c:v>
                </c:pt>
                <c:pt idx="2">
                  <c:v>0.26544261597713892</c:v>
                </c:pt>
                <c:pt idx="3">
                  <c:v>0.26794684705811467</c:v>
                </c:pt>
                <c:pt idx="4">
                  <c:v>0.26858405805799573</c:v>
                </c:pt>
                <c:pt idx="5">
                  <c:v>0.26906496096422855</c:v>
                </c:pt>
                <c:pt idx="6">
                  <c:v>0.31561053803741995</c:v>
                </c:pt>
                <c:pt idx="7">
                  <c:v>0.28855820620564104</c:v>
                </c:pt>
                <c:pt idx="8">
                  <c:v>0.28855820620564104</c:v>
                </c:pt>
                <c:pt idx="9">
                  <c:v>0.28917002195943187</c:v>
                </c:pt>
                <c:pt idx="10">
                  <c:v>0.30789735501583909</c:v>
                </c:pt>
                <c:pt idx="11">
                  <c:v>0.29884155045654975</c:v>
                </c:pt>
                <c:pt idx="12">
                  <c:v>0</c:v>
                </c:pt>
                <c:pt idx="13">
                  <c:v>0.34623565508027671</c:v>
                </c:pt>
                <c:pt idx="14">
                  <c:v>0.30198441844190738</c:v>
                </c:pt>
                <c:pt idx="15">
                  <c:v>0.30273843813861084</c:v>
                </c:pt>
                <c:pt idx="16">
                  <c:v>0.31266691444471573</c:v>
                </c:pt>
                <c:pt idx="17">
                  <c:v>0.22769791949060988</c:v>
                </c:pt>
                <c:pt idx="18">
                  <c:v>0.38025985179229582</c:v>
                </c:pt>
                <c:pt idx="19">
                  <c:v>0.2481702672672709</c:v>
                </c:pt>
                <c:pt idx="20">
                  <c:v>0.30564719678311375</c:v>
                </c:pt>
                <c:pt idx="21">
                  <c:v>0.30606219656255235</c:v>
                </c:pt>
                <c:pt idx="22">
                  <c:v>0.30647889137302958</c:v>
                </c:pt>
                <c:pt idx="23">
                  <c:v>0.35436621815006542</c:v>
                </c:pt>
                <c:pt idx="24">
                  <c:v>0.35436621815006542</c:v>
                </c:pt>
                <c:pt idx="25">
                  <c:v>0</c:v>
                </c:pt>
                <c:pt idx="26">
                  <c:v>0.13417594663649629</c:v>
                </c:pt>
                <c:pt idx="27">
                  <c:v>0.31648783318425872</c:v>
                </c:pt>
                <c:pt idx="28">
                  <c:v>0.30944420195555422</c:v>
                </c:pt>
                <c:pt idx="29">
                  <c:v>0.27382325039800809</c:v>
                </c:pt>
                <c:pt idx="30">
                  <c:v>0.23605067222226983</c:v>
                </c:pt>
                <c:pt idx="31">
                  <c:v>0.32921413160452551</c:v>
                </c:pt>
                <c:pt idx="32">
                  <c:v>0.32574183295743941</c:v>
                </c:pt>
                <c:pt idx="33">
                  <c:v>0.27698894227678539</c:v>
                </c:pt>
                <c:pt idx="34">
                  <c:v>0.33457378501652146</c:v>
                </c:pt>
                <c:pt idx="35">
                  <c:v>0.3283860412942175</c:v>
                </c:pt>
                <c:pt idx="36">
                  <c:v>0.25423435455036197</c:v>
                </c:pt>
                <c:pt idx="37">
                  <c:v>0.22665867207836368</c:v>
                </c:pt>
                <c:pt idx="38">
                  <c:v>0.26461550588185317</c:v>
                </c:pt>
                <c:pt idx="39">
                  <c:v>0.26461550588185317</c:v>
                </c:pt>
                <c:pt idx="40">
                  <c:v>0.26461550588185317</c:v>
                </c:pt>
                <c:pt idx="41">
                  <c:v>0.26461550588185317</c:v>
                </c:pt>
                <c:pt idx="42">
                  <c:v>0.24592131491778102</c:v>
                </c:pt>
                <c:pt idx="43">
                  <c:v>0.20954646132111254</c:v>
                </c:pt>
                <c:pt idx="44">
                  <c:v>0.27250520062503769</c:v>
                </c:pt>
                <c:pt idx="45">
                  <c:v>0.24616135530183592</c:v>
                </c:pt>
                <c:pt idx="46">
                  <c:v>0.27279189739094217</c:v>
                </c:pt>
                <c:pt idx="47">
                  <c:v>0.26461550588185317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870-4B70-8C51-B94FB5BE1ED4}"/>
            </c:ext>
          </c:extLst>
        </c:ser>
        <c:ser>
          <c:idx val="1"/>
          <c:order val="1"/>
          <c:spPr>
            <a:ln w="19050">
              <a:noFill/>
            </a:ln>
          </c:spPr>
          <c:xVal>
            <c:numRef>
              <c:f>'Offshore supply vessel'!$B$11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'Offshore supply vessel'!$B$14</c:f>
              <c:numCache>
                <c:formatCode>General</c:formatCode>
                <c:ptCount val="1"/>
                <c:pt idx="0">
                  <c:v>0.29564904670492881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870-4B70-8C51-B94FB5BE1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768832"/>
        <c:axId val="81770752"/>
      </c:scatterChart>
      <c:valAx>
        <c:axId val="81768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B/T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770752"/>
        <c:crosses val="autoZero"/>
        <c:crossBetween val="midCat"/>
      </c:valAx>
      <c:valAx>
        <c:axId val="81770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 baseline="0"/>
                  <a:t>Fn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817688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0"/>
          </c:trendline>
          <c:xVal>
            <c:numRef>
              <c:f>Cruise!$W$104:$W$342</c:f>
              <c:numCache>
                <c:formatCode>General</c:formatCode>
                <c:ptCount val="239"/>
                <c:pt idx="0">
                  <c:v>6.0535714285714288</c:v>
                </c:pt>
                <c:pt idx="1">
                  <c:v>5.569230769230769</c:v>
                </c:pt>
                <c:pt idx="2">
                  <c:v>6.458333333333333</c:v>
                </c:pt>
                <c:pt idx="3">
                  <c:v>7.866459627329192</c:v>
                </c:pt>
                <c:pt idx="4">
                  <c:v>5.569230769230769</c:v>
                </c:pt>
                <c:pt idx="5">
                  <c:v>7.7021276595744679</c:v>
                </c:pt>
                <c:pt idx="6">
                  <c:v>8.4057971014492754</c:v>
                </c:pt>
                <c:pt idx="7">
                  <c:v>7.1091908876669283</c:v>
                </c:pt>
                <c:pt idx="8">
                  <c:v>8.0555555555555554</c:v>
                </c:pt>
                <c:pt idx="9">
                  <c:v>8.2702702702702702</c:v>
                </c:pt>
                <c:pt idx="10">
                  <c:v>8.169014084507042</c:v>
                </c:pt>
                <c:pt idx="11">
                  <c:v>7.7053824362606242</c:v>
                </c:pt>
                <c:pt idx="12">
                  <c:v>6.375</c:v>
                </c:pt>
                <c:pt idx="13">
                  <c:v>7.5121951219512191</c:v>
                </c:pt>
                <c:pt idx="14">
                  <c:v>8.2993630573248414</c:v>
                </c:pt>
                <c:pt idx="15">
                  <c:v>9.0062111801242235</c:v>
                </c:pt>
                <c:pt idx="16">
                  <c:v>9.0838509316770182</c:v>
                </c:pt>
                <c:pt idx="17">
                  <c:v>6.375</c:v>
                </c:pt>
                <c:pt idx="18">
                  <c:v>8.2432432432432439</c:v>
                </c:pt>
                <c:pt idx="19">
                  <c:v>8.7567567567567561</c:v>
                </c:pt>
                <c:pt idx="20">
                  <c:v>7.6397515527950306</c:v>
                </c:pt>
                <c:pt idx="21">
                  <c:v>8.1956521739130412</c:v>
                </c:pt>
                <c:pt idx="22">
                  <c:v>8.5294117647058822</c:v>
                </c:pt>
                <c:pt idx="23">
                  <c:v>8.2894736842105257</c:v>
                </c:pt>
                <c:pt idx="24">
                  <c:v>6.645833333333333</c:v>
                </c:pt>
                <c:pt idx="25">
                  <c:v>8.513513513513514</c:v>
                </c:pt>
                <c:pt idx="26">
                  <c:v>6.645833333333333</c:v>
                </c:pt>
                <c:pt idx="27">
                  <c:v>5.9797297297297298</c:v>
                </c:pt>
                <c:pt idx="28">
                  <c:v>5.3292410714285712</c:v>
                </c:pt>
                <c:pt idx="29">
                  <c:v>6.1582512315270943</c:v>
                </c:pt>
                <c:pt idx="30">
                  <c:v>6.5</c:v>
                </c:pt>
                <c:pt idx="31">
                  <c:v>6.5</c:v>
                </c:pt>
                <c:pt idx="32">
                  <c:v>4.2159252336448603</c:v>
                </c:pt>
                <c:pt idx="33">
                  <c:v>6.3914285714285715</c:v>
                </c:pt>
                <c:pt idx="34">
                  <c:v>9.1304347826086953</c:v>
                </c:pt>
                <c:pt idx="35">
                  <c:v>6.0666666666666664</c:v>
                </c:pt>
                <c:pt idx="36">
                  <c:v>7.8125</c:v>
                </c:pt>
                <c:pt idx="37">
                  <c:v>7.8125</c:v>
                </c:pt>
                <c:pt idx="38">
                  <c:v>7.9333333333333336</c:v>
                </c:pt>
                <c:pt idx="39">
                  <c:v>8.1149068322981357</c:v>
                </c:pt>
                <c:pt idx="40">
                  <c:v>7.7333333333333334</c:v>
                </c:pt>
                <c:pt idx="41">
                  <c:v>9.1891891891891895</c:v>
                </c:pt>
                <c:pt idx="42">
                  <c:v>9.1891891891891895</c:v>
                </c:pt>
                <c:pt idx="43">
                  <c:v>8.0952380952380949</c:v>
                </c:pt>
                <c:pt idx="44">
                  <c:v>5.7712418300653594</c:v>
                </c:pt>
                <c:pt idx="45">
                  <c:v>8.0555555555555554</c:v>
                </c:pt>
                <c:pt idx="46">
                  <c:v>9.3726708074534155</c:v>
                </c:pt>
                <c:pt idx="47">
                  <c:v>7.1737704918032792</c:v>
                </c:pt>
                <c:pt idx="48">
                  <c:v>6.458333333333333</c:v>
                </c:pt>
                <c:pt idx="49">
                  <c:v>8.1842105263157894</c:v>
                </c:pt>
                <c:pt idx="50">
                  <c:v>6.5609756097560981</c:v>
                </c:pt>
                <c:pt idx="51">
                  <c:v>7.1081967213114758</c:v>
                </c:pt>
                <c:pt idx="52">
                  <c:v>6.0535714285714288</c:v>
                </c:pt>
                <c:pt idx="53">
                  <c:v>5.8398692810457513</c:v>
                </c:pt>
                <c:pt idx="54">
                  <c:v>7.3137931034482753</c:v>
                </c:pt>
                <c:pt idx="55">
                  <c:v>8.4458438287153648</c:v>
                </c:pt>
                <c:pt idx="56">
                  <c:v>7.6364403205398563</c:v>
                </c:pt>
                <c:pt idx="57">
                  <c:v>8.7718421052631577</c:v>
                </c:pt>
                <c:pt idx="58">
                  <c:v>6.7625000000000002</c:v>
                </c:pt>
                <c:pt idx="59">
                  <c:v>6.0535714285714288</c:v>
                </c:pt>
                <c:pt idx="60">
                  <c:v>8.9210526315789469</c:v>
                </c:pt>
                <c:pt idx="62">
                  <c:v>6.2028985507246368</c:v>
                </c:pt>
                <c:pt idx="63">
                  <c:v>6</c:v>
                </c:pt>
                <c:pt idx="64">
                  <c:v>9.1055900621117996</c:v>
                </c:pt>
                <c:pt idx="65">
                  <c:v>8.4857142857142858</c:v>
                </c:pt>
                <c:pt idx="66">
                  <c:v>7.8888888888888893</c:v>
                </c:pt>
                <c:pt idx="67">
                  <c:v>7.1428571428571432</c:v>
                </c:pt>
                <c:pt idx="68">
                  <c:v>6.0535714285714288</c:v>
                </c:pt>
                <c:pt idx="69">
                  <c:v>8.9210526315789469</c:v>
                </c:pt>
                <c:pt idx="70">
                  <c:v>8.59375</c:v>
                </c:pt>
                <c:pt idx="71">
                  <c:v>8.3034055727554179</c:v>
                </c:pt>
                <c:pt idx="72">
                  <c:v>7.7950310559006208</c:v>
                </c:pt>
                <c:pt idx="73">
                  <c:v>7.5</c:v>
                </c:pt>
                <c:pt idx="74">
                  <c:v>6.3265306122448983</c:v>
                </c:pt>
                <c:pt idx="75">
                  <c:v>8.2222222222222214</c:v>
                </c:pt>
                <c:pt idx="76">
                  <c:v>7.344186046511628</c:v>
                </c:pt>
                <c:pt idx="77">
                  <c:v>6.5294117647058822</c:v>
                </c:pt>
                <c:pt idx="78">
                  <c:v>7.6923076923076925</c:v>
                </c:pt>
                <c:pt idx="79">
                  <c:v>6.822222222222222</c:v>
                </c:pt>
                <c:pt idx="80">
                  <c:v>8.7631578947368425</c:v>
                </c:pt>
                <c:pt idx="81">
                  <c:v>8.7631578947368425</c:v>
                </c:pt>
                <c:pt idx="82">
                  <c:v>8.7631578947368425</c:v>
                </c:pt>
                <c:pt idx="83">
                  <c:v>8.7631578947368425</c:v>
                </c:pt>
                <c:pt idx="84">
                  <c:v>6.66</c:v>
                </c:pt>
                <c:pt idx="85">
                  <c:v>8.7631578947368425</c:v>
                </c:pt>
                <c:pt idx="86">
                  <c:v>6.66</c:v>
                </c:pt>
                <c:pt idx="87">
                  <c:v>6.8877551020408161</c:v>
                </c:pt>
                <c:pt idx="88">
                  <c:v>7</c:v>
                </c:pt>
                <c:pt idx="89">
                  <c:v>7.1091908876669283</c:v>
                </c:pt>
                <c:pt idx="90">
                  <c:v>6.8826612903225808</c:v>
                </c:pt>
                <c:pt idx="91">
                  <c:v>6.3265306122448983</c:v>
                </c:pt>
                <c:pt idx="92">
                  <c:v>6.2510121457489882</c:v>
                </c:pt>
                <c:pt idx="93">
                  <c:v>8.1612090680100753</c:v>
                </c:pt>
                <c:pt idx="94">
                  <c:v>6.3725490196078427</c:v>
                </c:pt>
                <c:pt idx="95">
                  <c:v>8.0243902439024382</c:v>
                </c:pt>
                <c:pt idx="96">
                  <c:v>7.8719806763285023</c:v>
                </c:pt>
                <c:pt idx="97">
                  <c:v>8.2040302267002509</c:v>
                </c:pt>
                <c:pt idx="98">
                  <c:v>8.0555555555555554</c:v>
                </c:pt>
                <c:pt idx="99">
                  <c:v>7.7618749999999999</c:v>
                </c:pt>
                <c:pt idx="100">
                  <c:v>7.7417968749999995</c:v>
                </c:pt>
                <c:pt idx="101">
                  <c:v>7.2070175438596493</c:v>
                </c:pt>
                <c:pt idx="102">
                  <c:v>8.4823609756097564</c:v>
                </c:pt>
                <c:pt idx="103">
                  <c:v>9.102167182662539</c:v>
                </c:pt>
                <c:pt idx="104">
                  <c:v>9.102167182662539</c:v>
                </c:pt>
                <c:pt idx="105">
                  <c:v>8.4146341463414629</c:v>
                </c:pt>
                <c:pt idx="106">
                  <c:v>9.1162790697674421</c:v>
                </c:pt>
                <c:pt idx="107">
                  <c:v>7.734375</c:v>
                </c:pt>
                <c:pt idx="108">
                  <c:v>7.5</c:v>
                </c:pt>
                <c:pt idx="109">
                  <c:v>7.1091908876669283</c:v>
                </c:pt>
                <c:pt idx="110">
                  <c:v>7.7950310559006208</c:v>
                </c:pt>
                <c:pt idx="111">
                  <c:v>5.6155115511551159</c:v>
                </c:pt>
                <c:pt idx="112">
                  <c:v>8.59375</c:v>
                </c:pt>
                <c:pt idx="113">
                  <c:v>7.1091908876669283</c:v>
                </c:pt>
                <c:pt idx="114">
                  <c:v>7.4772727272727275</c:v>
                </c:pt>
                <c:pt idx="115">
                  <c:v>7.3388783269961975</c:v>
                </c:pt>
                <c:pt idx="116">
                  <c:v>7.03125</c:v>
                </c:pt>
                <c:pt idx="117">
                  <c:v>7.734375</c:v>
                </c:pt>
                <c:pt idx="118">
                  <c:v>6.984375</c:v>
                </c:pt>
                <c:pt idx="119">
                  <c:v>7.1787671232876713</c:v>
                </c:pt>
                <c:pt idx="120">
                  <c:v>7.202572347266881</c:v>
                </c:pt>
                <c:pt idx="121">
                  <c:v>7.8256880733944945</c:v>
                </c:pt>
                <c:pt idx="122">
                  <c:v>7.0868055555555554</c:v>
                </c:pt>
                <c:pt idx="123">
                  <c:v>9.3898064516129036</c:v>
                </c:pt>
                <c:pt idx="124">
                  <c:v>6.3125</c:v>
                </c:pt>
                <c:pt idx="125">
                  <c:v>6.4453968253968252</c:v>
                </c:pt>
                <c:pt idx="126">
                  <c:v>6.9230769230769234</c:v>
                </c:pt>
                <c:pt idx="128">
                  <c:v>7.734375</c:v>
                </c:pt>
                <c:pt idx="130">
                  <c:v>6</c:v>
                </c:pt>
                <c:pt idx="131">
                  <c:v>8.2562499999999996</c:v>
                </c:pt>
                <c:pt idx="132">
                  <c:v>8.341614906832298</c:v>
                </c:pt>
                <c:pt idx="133">
                  <c:v>6.9285714285714288</c:v>
                </c:pt>
                <c:pt idx="134">
                  <c:v>7.9236111111111107</c:v>
                </c:pt>
                <c:pt idx="135">
                  <c:v>7.9166666666666661</c:v>
                </c:pt>
                <c:pt idx="136">
                  <c:v>8.6645962732919255</c:v>
                </c:pt>
                <c:pt idx="137">
                  <c:v>7.1701388888888884</c:v>
                </c:pt>
                <c:pt idx="138">
                  <c:v>6.458333333333333</c:v>
                </c:pt>
                <c:pt idx="139">
                  <c:v>9.3898064516129036</c:v>
                </c:pt>
                <c:pt idx="141">
                  <c:v>7.8489451476793253</c:v>
                </c:pt>
              </c:numCache>
            </c:numRef>
          </c:xVal>
          <c:yVal>
            <c:numRef>
              <c:f>Cruise!$AD$104:$AD$342</c:f>
              <c:numCache>
                <c:formatCode>General</c:formatCode>
                <c:ptCount val="239"/>
                <c:pt idx="0">
                  <c:v>0.19177383773299378</c:v>
                </c:pt>
                <c:pt idx="1">
                  <c:v>0.19417334453130139</c:v>
                </c:pt>
                <c:pt idx="2">
                  <c:v>0.20889936915619484</c:v>
                </c:pt>
                <c:pt idx="3">
                  <c:v>0.23623579218741944</c:v>
                </c:pt>
                <c:pt idx="4">
                  <c:v>0.19417334453130139</c:v>
                </c:pt>
                <c:pt idx="5">
                  <c:v>0.32051220967124039</c:v>
                </c:pt>
                <c:pt idx="6">
                  <c:v>0.19374134089527265</c:v>
                </c:pt>
                <c:pt idx="7">
                  <c:v>0.21871001730863635</c:v>
                </c:pt>
                <c:pt idx="8">
                  <c:v>0.21118308953121082</c:v>
                </c:pt>
                <c:pt idx="9">
                  <c:v>0.21026029149149769</c:v>
                </c:pt>
                <c:pt idx="10">
                  <c:v>0.20158385818888308</c:v>
                </c:pt>
                <c:pt idx="11">
                  <c:v>0.19823530390386421</c:v>
                </c:pt>
                <c:pt idx="12">
                  <c:v>0.21026029149149769</c:v>
                </c:pt>
                <c:pt idx="13">
                  <c:v>0.25287444250112412</c:v>
                </c:pt>
                <c:pt idx="14">
                  <c:v>0.21265105728338976</c:v>
                </c:pt>
                <c:pt idx="15">
                  <c:v>0.20158385818888308</c:v>
                </c:pt>
                <c:pt idx="16">
                  <c:v>0.21027866100893008</c:v>
                </c:pt>
                <c:pt idx="17">
                  <c:v>0.21026029149149769</c:v>
                </c:pt>
                <c:pt idx="18">
                  <c:v>0.29250652558915807</c:v>
                </c:pt>
                <c:pt idx="19">
                  <c:v>0.21160865893867289</c:v>
                </c:pt>
                <c:pt idx="20">
                  <c:v>0.22408168608878659</c:v>
                </c:pt>
                <c:pt idx="21">
                  <c:v>0.21634866619748164</c:v>
                </c:pt>
                <c:pt idx="22">
                  <c:v>0.15284688310606867</c:v>
                </c:pt>
                <c:pt idx="23">
                  <c:v>0.22105045954436184</c:v>
                </c:pt>
                <c:pt idx="24">
                  <c:v>0.30210426699248694</c:v>
                </c:pt>
                <c:pt idx="25">
                  <c:v>0.23026089535871025</c:v>
                </c:pt>
                <c:pt idx="26">
                  <c:v>0.28422827486275404</c:v>
                </c:pt>
                <c:pt idx="27">
                  <c:v>0.26064841059555832</c:v>
                </c:pt>
                <c:pt idx="28">
                  <c:v>0.25430636697179176</c:v>
                </c:pt>
                <c:pt idx="29">
                  <c:v>0.19615301580768041</c:v>
                </c:pt>
                <c:pt idx="30">
                  <c:v>0.22441238602058289</c:v>
                </c:pt>
                <c:pt idx="31">
                  <c:v>0.22441238602058289</c:v>
                </c:pt>
                <c:pt idx="32">
                  <c:v>0.35280601553309021</c:v>
                </c:pt>
                <c:pt idx="33">
                  <c:v>0.24045020189091543</c:v>
                </c:pt>
                <c:pt idx="34">
                  <c:v>0.22880896351254673</c:v>
                </c:pt>
                <c:pt idx="35">
                  <c:v>0.2347660691259891</c:v>
                </c:pt>
                <c:pt idx="36">
                  <c:v>0.22745114832108235</c:v>
                </c:pt>
                <c:pt idx="37">
                  <c:v>0.22745114832108235</c:v>
                </c:pt>
                <c:pt idx="38">
                  <c:v>0.22251857675138123</c:v>
                </c:pt>
                <c:pt idx="39">
                  <c:v>0.21236602940976612</c:v>
                </c:pt>
                <c:pt idx="40">
                  <c:v>0.20158385818888308</c:v>
                </c:pt>
                <c:pt idx="41">
                  <c:v>0.1950377506305227</c:v>
                </c:pt>
                <c:pt idx="42">
                  <c:v>0.1950377506305227</c:v>
                </c:pt>
                <c:pt idx="43">
                  <c:v>0.18354049686466092</c:v>
                </c:pt>
                <c:pt idx="44">
                  <c:v>0.26964154298854281</c:v>
                </c:pt>
                <c:pt idx="45">
                  <c:v>0.20638347386004696</c:v>
                </c:pt>
                <c:pt idx="46">
                  <c:v>0.2070134295972465</c:v>
                </c:pt>
                <c:pt idx="47">
                  <c:v>0.27628150120582423</c:v>
                </c:pt>
                <c:pt idx="48">
                  <c:v>0.22004066884452522</c:v>
                </c:pt>
                <c:pt idx="49">
                  <c:v>0.30596518104177289</c:v>
                </c:pt>
                <c:pt idx="50">
                  <c:v>0.26207945569000185</c:v>
                </c:pt>
                <c:pt idx="51">
                  <c:v>0.27755293682764109</c:v>
                </c:pt>
                <c:pt idx="52">
                  <c:v>0.19177383773299378</c:v>
                </c:pt>
                <c:pt idx="53">
                  <c:v>0.2680525092545481</c:v>
                </c:pt>
                <c:pt idx="54">
                  <c:v>0.24693793032656736</c:v>
                </c:pt>
                <c:pt idx="55">
                  <c:v>0.18830960616700107</c:v>
                </c:pt>
                <c:pt idx="56">
                  <c:v>0.18992654471865639</c:v>
                </c:pt>
                <c:pt idx="57">
                  <c:v>0.20414234682814006</c:v>
                </c:pt>
                <c:pt idx="58">
                  <c:v>0.25930194304761078</c:v>
                </c:pt>
                <c:pt idx="59">
                  <c:v>0.19177383773299378</c:v>
                </c:pt>
                <c:pt idx="60">
                  <c:v>0.34334508708706568</c:v>
                </c:pt>
                <c:pt idx="61">
                  <c:v>0.20378510156868146</c:v>
                </c:pt>
                <c:pt idx="62">
                  <c:v>0.26860991352173547</c:v>
                </c:pt>
                <c:pt idx="63">
                  <c:v>0.13957229556066417</c:v>
                </c:pt>
                <c:pt idx="64">
                  <c:v>0.22912090498461177</c:v>
                </c:pt>
                <c:pt idx="65">
                  <c:v>0.17155297678643538</c:v>
                </c:pt>
                <c:pt idx="66">
                  <c:v>0.21948824590859134</c:v>
                </c:pt>
                <c:pt idx="67">
                  <c:v>0.22885662708217377</c:v>
                </c:pt>
                <c:pt idx="68">
                  <c:v>0.19177383773299378</c:v>
                </c:pt>
                <c:pt idx="69">
                  <c:v>0.31213189735187785</c:v>
                </c:pt>
                <c:pt idx="70">
                  <c:v>0.19860353294081731</c:v>
                </c:pt>
                <c:pt idx="71">
                  <c:v>0.21460731965100405</c:v>
                </c:pt>
                <c:pt idx="72">
                  <c:v>0.20636146018015603</c:v>
                </c:pt>
                <c:pt idx="73">
                  <c:v>0.22245315897053158</c:v>
                </c:pt>
                <c:pt idx="74">
                  <c:v>0.20425716095272381</c:v>
                </c:pt>
                <c:pt idx="75">
                  <c:v>0.19953031881883129</c:v>
                </c:pt>
                <c:pt idx="76">
                  <c:v>0.17840568198667509</c:v>
                </c:pt>
                <c:pt idx="77">
                  <c:v>0.23273689015284979</c:v>
                </c:pt>
                <c:pt idx="78">
                  <c:v>0.25429811460316359</c:v>
                </c:pt>
                <c:pt idx="79">
                  <c:v>0.23602404906086127</c:v>
                </c:pt>
                <c:pt idx="80">
                  <c:v>0.20200396162408996</c:v>
                </c:pt>
                <c:pt idx="81">
                  <c:v>0.44090387965346683</c:v>
                </c:pt>
                <c:pt idx="82">
                  <c:v>0.18811898865214588</c:v>
                </c:pt>
                <c:pt idx="83">
                  <c:v>0.21230571576456461</c:v>
                </c:pt>
                <c:pt idx="84">
                  <c:v>0.2554443112278022</c:v>
                </c:pt>
                <c:pt idx="85">
                  <c:v>0.18811898865214588</c:v>
                </c:pt>
                <c:pt idx="86">
                  <c:v>0.31843057974972605</c:v>
                </c:pt>
                <c:pt idx="87">
                  <c:v>0.22510676961484705</c:v>
                </c:pt>
                <c:pt idx="88">
                  <c:v>0.27031148265557203</c:v>
                </c:pt>
                <c:pt idx="89">
                  <c:v>0.21871001730863635</c:v>
                </c:pt>
                <c:pt idx="90">
                  <c:v>0.25024269799206761</c:v>
                </c:pt>
                <c:pt idx="91">
                  <c:v>0.20425716095272381</c:v>
                </c:pt>
                <c:pt idx="92">
                  <c:v>0.27626833099652109</c:v>
                </c:pt>
                <c:pt idx="93">
                  <c:v>0.19525466199471175</c:v>
                </c:pt>
                <c:pt idx="94">
                  <c:v>0.33826509272371436</c:v>
                </c:pt>
                <c:pt idx="95">
                  <c:v>0.19827145294295823</c:v>
                </c:pt>
                <c:pt idx="96">
                  <c:v>0.20020261366122599</c:v>
                </c:pt>
                <c:pt idx="97">
                  <c:v>0.19474442682016732</c:v>
                </c:pt>
                <c:pt idx="98">
                  <c:v>0.20280355631392272</c:v>
                </c:pt>
                <c:pt idx="99">
                  <c:v>0.20536204453804524</c:v>
                </c:pt>
                <c:pt idx="100">
                  <c:v>0.22062168104431007</c:v>
                </c:pt>
                <c:pt idx="101">
                  <c:v>0.20969766171906395</c:v>
                </c:pt>
                <c:pt idx="102">
                  <c:v>0.19284475640433277</c:v>
                </c:pt>
                <c:pt idx="103">
                  <c:v>0.20688143784259436</c:v>
                </c:pt>
                <c:pt idx="104">
                  <c:v>0.20688143784259436</c:v>
                </c:pt>
                <c:pt idx="105">
                  <c:v>0.26402628468667921</c:v>
                </c:pt>
                <c:pt idx="106">
                  <c:v>0.17828031740352601</c:v>
                </c:pt>
                <c:pt idx="107">
                  <c:v>0.22072750949912298</c:v>
                </c:pt>
                <c:pt idx="108">
                  <c:v>0.18357293635931402</c:v>
                </c:pt>
                <c:pt idx="109">
                  <c:v>0.21871001730863635</c:v>
                </c:pt>
                <c:pt idx="110">
                  <c:v>0.20636146018015603</c:v>
                </c:pt>
                <c:pt idx="111">
                  <c:v>0.29843797913428499</c:v>
                </c:pt>
                <c:pt idx="112">
                  <c:v>0.19797081372082884</c:v>
                </c:pt>
                <c:pt idx="113">
                  <c:v>0.21871001730863635</c:v>
                </c:pt>
                <c:pt idx="114">
                  <c:v>0.3837284866971315</c:v>
                </c:pt>
                <c:pt idx="115">
                  <c:v>0.23021615409813859</c:v>
                </c:pt>
                <c:pt idx="116">
                  <c:v>0.26731428891763087</c:v>
                </c:pt>
                <c:pt idx="117">
                  <c:v>0.25557922152530033</c:v>
                </c:pt>
                <c:pt idx="118">
                  <c:v>0.26820981668208232</c:v>
                </c:pt>
                <c:pt idx="119">
                  <c:v>0.22354354432579934</c:v>
                </c:pt>
                <c:pt idx="120">
                  <c:v>0.24105710171063577</c:v>
                </c:pt>
                <c:pt idx="121">
                  <c:v>0.244050979608569</c:v>
                </c:pt>
                <c:pt idx="122">
                  <c:v>0.22884632922905496</c:v>
                </c:pt>
                <c:pt idx="123">
                  <c:v>0.22495755927677683</c:v>
                </c:pt>
                <c:pt idx="124">
                  <c:v>0.24728526139792004</c:v>
                </c:pt>
                <c:pt idx="125">
                  <c:v>0.24092099310119752</c:v>
                </c:pt>
                <c:pt idx="126">
                  <c:v>0.22021739208620469</c:v>
                </c:pt>
                <c:pt idx="127">
                  <c:v>0.2370300780493943</c:v>
                </c:pt>
                <c:pt idx="128">
                  <c:v>0.22072750949912298</c:v>
                </c:pt>
                <c:pt idx="129">
                  <c:v>0.18289933907878095</c:v>
                </c:pt>
                <c:pt idx="130">
                  <c:v>0.24985164020118894</c:v>
                </c:pt>
                <c:pt idx="131">
                  <c:v>0.241368333750485</c:v>
                </c:pt>
                <c:pt idx="132">
                  <c:v>0.20946031284649047</c:v>
                </c:pt>
                <c:pt idx="133">
                  <c:v>0.22299144062716381</c:v>
                </c:pt>
                <c:pt idx="134">
                  <c:v>0.21748186621427212</c:v>
                </c:pt>
                <c:pt idx="135">
                  <c:v>0.21757723208871471</c:v>
                </c:pt>
                <c:pt idx="136">
                  <c:v>0.21530595233673852</c:v>
                </c:pt>
                <c:pt idx="137">
                  <c:v>0.2275125850141097</c:v>
                </c:pt>
                <c:pt idx="138">
                  <c:v>0.22004066884452522</c:v>
                </c:pt>
                <c:pt idx="139">
                  <c:v>0.22495755927677683</c:v>
                </c:pt>
                <c:pt idx="140">
                  <c:v>0.35280601553309021</c:v>
                </c:pt>
                <c:pt idx="141">
                  <c:v>0.18577502800100948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0D7-4B6E-A398-87077A71AC04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Cruise!$B$10</c:f>
              <c:numCache>
                <c:formatCode>General</c:formatCode>
                <c:ptCount val="1"/>
                <c:pt idx="0">
                  <c:v>7.5675675675675675</c:v>
                </c:pt>
              </c:numCache>
            </c:numRef>
          </c:xVal>
          <c:yVal>
            <c:numRef>
              <c:f>Cruise!$B$14</c:f>
              <c:numCache>
                <c:formatCode>General</c:formatCode>
                <c:ptCount val="1"/>
                <c:pt idx="0">
                  <c:v>0.1766840994720856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BB2-42E8-91C3-259469B4D145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69850">
                <a:solidFill>
                  <a:srgbClr val="FF0000"/>
                </a:solidFill>
              </a:ln>
              <a:effectLst/>
            </c:spPr>
          </c:marker>
          <c:xVal>
            <c:numRef>
              <c:f>Cruise!$B$10</c:f>
              <c:numCache>
                <c:formatCode>General</c:formatCode>
                <c:ptCount val="1"/>
                <c:pt idx="0">
                  <c:v>7.5675675675675675</c:v>
                </c:pt>
              </c:numCache>
            </c:numRef>
          </c:xVal>
          <c:yVal>
            <c:numRef>
              <c:f>Cruise!$B$14</c:f>
              <c:numCache>
                <c:formatCode>General</c:formatCode>
                <c:ptCount val="1"/>
                <c:pt idx="0">
                  <c:v>0.1766840994720856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BB2-42E8-91C3-259469B4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5669952"/>
        <c:axId val="635667000"/>
      </c:scatterChart>
      <c:valAx>
        <c:axId val="635669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L/B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667000"/>
        <c:crosses val="autoZero"/>
        <c:crossBetween val="midCat"/>
      </c:valAx>
      <c:valAx>
        <c:axId val="635667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Fn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669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10" Type="http://schemas.openxmlformats.org/officeDocument/2006/relationships/chart" Target="../charts/chart34.xml"/><Relationship Id="rId19" Type="http://schemas.openxmlformats.org/officeDocument/2006/relationships/chart" Target="../charts/chart43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1.xml"/><Relationship Id="rId3" Type="http://schemas.openxmlformats.org/officeDocument/2006/relationships/chart" Target="../charts/chart46.xml"/><Relationship Id="rId7" Type="http://schemas.openxmlformats.org/officeDocument/2006/relationships/chart" Target="../charts/chart50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6" Type="http://schemas.openxmlformats.org/officeDocument/2006/relationships/chart" Target="../charts/chart49.xml"/><Relationship Id="rId11" Type="http://schemas.openxmlformats.org/officeDocument/2006/relationships/chart" Target="../charts/chart54.xml"/><Relationship Id="rId5" Type="http://schemas.openxmlformats.org/officeDocument/2006/relationships/chart" Target="../charts/chart48.xml"/><Relationship Id="rId10" Type="http://schemas.openxmlformats.org/officeDocument/2006/relationships/chart" Target="../charts/chart53.xml"/><Relationship Id="rId4" Type="http://schemas.openxmlformats.org/officeDocument/2006/relationships/chart" Target="../charts/chart47.xml"/><Relationship Id="rId9" Type="http://schemas.openxmlformats.org/officeDocument/2006/relationships/chart" Target="../charts/chart52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3" Type="http://schemas.openxmlformats.org/officeDocument/2006/relationships/chart" Target="../charts/chart57.xml"/><Relationship Id="rId7" Type="http://schemas.openxmlformats.org/officeDocument/2006/relationships/chart" Target="../charts/chart61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4" Type="http://schemas.openxmlformats.org/officeDocument/2006/relationships/chart" Target="../charts/chart58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0.xml"/><Relationship Id="rId13" Type="http://schemas.openxmlformats.org/officeDocument/2006/relationships/chart" Target="../charts/chart75.xml"/><Relationship Id="rId3" Type="http://schemas.openxmlformats.org/officeDocument/2006/relationships/chart" Target="../charts/chart65.xml"/><Relationship Id="rId7" Type="http://schemas.openxmlformats.org/officeDocument/2006/relationships/chart" Target="../charts/chart69.xml"/><Relationship Id="rId12" Type="http://schemas.openxmlformats.org/officeDocument/2006/relationships/chart" Target="../charts/chart74.xml"/><Relationship Id="rId2" Type="http://schemas.openxmlformats.org/officeDocument/2006/relationships/chart" Target="../charts/chart64.xml"/><Relationship Id="rId1" Type="http://schemas.openxmlformats.org/officeDocument/2006/relationships/chart" Target="../charts/chart63.xml"/><Relationship Id="rId6" Type="http://schemas.openxmlformats.org/officeDocument/2006/relationships/chart" Target="../charts/chart68.xml"/><Relationship Id="rId11" Type="http://schemas.openxmlformats.org/officeDocument/2006/relationships/chart" Target="../charts/chart73.xml"/><Relationship Id="rId5" Type="http://schemas.openxmlformats.org/officeDocument/2006/relationships/chart" Target="../charts/chart67.xml"/><Relationship Id="rId10" Type="http://schemas.openxmlformats.org/officeDocument/2006/relationships/chart" Target="../charts/chart72.xml"/><Relationship Id="rId4" Type="http://schemas.openxmlformats.org/officeDocument/2006/relationships/chart" Target="../charts/chart66.xml"/><Relationship Id="rId9" Type="http://schemas.openxmlformats.org/officeDocument/2006/relationships/chart" Target="../charts/chart71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3.xml"/><Relationship Id="rId3" Type="http://schemas.openxmlformats.org/officeDocument/2006/relationships/chart" Target="../charts/chart78.xml"/><Relationship Id="rId7" Type="http://schemas.openxmlformats.org/officeDocument/2006/relationships/chart" Target="../charts/chart82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Relationship Id="rId6" Type="http://schemas.openxmlformats.org/officeDocument/2006/relationships/chart" Target="../charts/chart81.xml"/><Relationship Id="rId5" Type="http://schemas.openxmlformats.org/officeDocument/2006/relationships/chart" Target="../charts/chart80.xml"/><Relationship Id="rId10" Type="http://schemas.openxmlformats.org/officeDocument/2006/relationships/chart" Target="../charts/chart85.xml"/><Relationship Id="rId4" Type="http://schemas.openxmlformats.org/officeDocument/2006/relationships/chart" Target="../charts/chart79.xml"/><Relationship Id="rId9" Type="http://schemas.openxmlformats.org/officeDocument/2006/relationships/chart" Target="../charts/chart8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1098523</xdr:colOff>
      <xdr:row>44</xdr:row>
      <xdr:rowOff>91110</xdr:rowOff>
    </xdr:from>
    <xdr:to>
      <xdr:col>6</xdr:col>
      <xdr:colOff>264629</xdr:colOff>
      <xdr:row>59</xdr:row>
      <xdr:rowOff>115956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F6B5BEC9-4C06-4EBA-821F-01615B1AD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466725</xdr:colOff>
      <xdr:row>44</xdr:row>
      <xdr:rowOff>178329</xdr:rowOff>
    </xdr:from>
    <xdr:to>
      <xdr:col>16</xdr:col>
      <xdr:colOff>390525</xdr:colOff>
      <xdr:row>59</xdr:row>
      <xdr:rowOff>19050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881541F-8554-4BE9-BFCC-6BBDC7280E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328749</xdr:colOff>
      <xdr:row>65</xdr:row>
      <xdr:rowOff>40822</xdr:rowOff>
    </xdr:from>
    <xdr:to>
      <xdr:col>7</xdr:col>
      <xdr:colOff>326571</xdr:colOff>
      <xdr:row>79</xdr:row>
      <xdr:rowOff>59872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A119B6C-0BAA-4A70-BF12-0CA1E29175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402875</xdr:colOff>
      <xdr:row>64</xdr:row>
      <xdr:rowOff>136072</xdr:rowOff>
    </xdr:from>
    <xdr:to>
      <xdr:col>16</xdr:col>
      <xdr:colOff>789215</xdr:colOff>
      <xdr:row>78</xdr:row>
      <xdr:rowOff>68035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DEFF20F6-038C-4B01-B438-FF441C7AC7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398319</xdr:colOff>
      <xdr:row>44</xdr:row>
      <xdr:rowOff>157348</xdr:rowOff>
    </xdr:from>
    <xdr:to>
      <xdr:col>25</xdr:col>
      <xdr:colOff>523009</xdr:colOff>
      <xdr:row>58</xdr:row>
      <xdr:rowOff>173182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D24AF1AC-D004-4179-8C8A-D87A8F7CAF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461870</xdr:colOff>
      <xdr:row>64</xdr:row>
      <xdr:rowOff>168087</xdr:rowOff>
    </xdr:from>
    <xdr:to>
      <xdr:col>25</xdr:col>
      <xdr:colOff>470647</xdr:colOff>
      <xdr:row>78</xdr:row>
      <xdr:rowOff>73374</xdr:rowOff>
    </xdr:to>
    <xdr:graphicFrame macro="">
      <xdr:nvGraphicFramePr>
        <xdr:cNvPr id="7" name="Kaavio 7">
          <a:extLst>
            <a:ext uri="{FF2B5EF4-FFF2-40B4-BE49-F238E27FC236}">
              <a16:creationId xmlns:a16="http://schemas.microsoft.com/office/drawing/2014/main" id="{AFB99BE0-C684-4B93-B2BA-B37992E3DC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234382</xdr:colOff>
      <xdr:row>84</xdr:row>
      <xdr:rowOff>135037</xdr:rowOff>
    </xdr:from>
    <xdr:to>
      <xdr:col>7</xdr:col>
      <xdr:colOff>614286</xdr:colOff>
      <xdr:row>99</xdr:row>
      <xdr:rowOff>51955</xdr:rowOff>
    </xdr:to>
    <xdr:graphicFrame macro="">
      <xdr:nvGraphicFramePr>
        <xdr:cNvPr id="8" name="Kaavio 8">
          <a:extLst>
            <a:ext uri="{FF2B5EF4-FFF2-40B4-BE49-F238E27FC236}">
              <a16:creationId xmlns:a16="http://schemas.microsoft.com/office/drawing/2014/main" id="{024FA4B7-E44C-4778-98D4-FEB365E4FC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316166</xdr:colOff>
      <xdr:row>24</xdr:row>
      <xdr:rowOff>91249</xdr:rowOff>
    </xdr:from>
    <xdr:to>
      <xdr:col>16</xdr:col>
      <xdr:colOff>696070</xdr:colOff>
      <xdr:row>39</xdr:row>
      <xdr:rowOff>8167</xdr:rowOff>
    </xdr:to>
    <xdr:graphicFrame macro="">
      <xdr:nvGraphicFramePr>
        <xdr:cNvPr id="11" name="Kaavio 8">
          <a:extLst>
            <a:ext uri="{FF2B5EF4-FFF2-40B4-BE49-F238E27FC236}">
              <a16:creationId xmlns:a16="http://schemas.microsoft.com/office/drawing/2014/main" id="{9C698645-67DE-49DF-8D3C-74A9ED846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461870</xdr:colOff>
      <xdr:row>24</xdr:row>
      <xdr:rowOff>168087</xdr:rowOff>
    </xdr:from>
    <xdr:to>
      <xdr:col>25</xdr:col>
      <xdr:colOff>470647</xdr:colOff>
      <xdr:row>38</xdr:row>
      <xdr:rowOff>73374</xdr:rowOff>
    </xdr:to>
    <xdr:graphicFrame macro="">
      <xdr:nvGraphicFramePr>
        <xdr:cNvPr id="12" name="Kaavio 7">
          <a:extLst>
            <a:ext uri="{FF2B5EF4-FFF2-40B4-BE49-F238E27FC236}">
              <a16:creationId xmlns:a16="http://schemas.microsoft.com/office/drawing/2014/main" id="{1B6170A3-C30F-4D7B-9DF6-A7CFB310E6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</xdr:col>
      <xdr:colOff>461870</xdr:colOff>
      <xdr:row>24</xdr:row>
      <xdr:rowOff>168087</xdr:rowOff>
    </xdr:from>
    <xdr:to>
      <xdr:col>34</xdr:col>
      <xdr:colOff>470647</xdr:colOff>
      <xdr:row>38</xdr:row>
      <xdr:rowOff>73374</xdr:rowOff>
    </xdr:to>
    <xdr:graphicFrame macro="">
      <xdr:nvGraphicFramePr>
        <xdr:cNvPr id="13" name="Kaavio 7">
          <a:extLst>
            <a:ext uri="{FF2B5EF4-FFF2-40B4-BE49-F238E27FC236}">
              <a16:creationId xmlns:a16="http://schemas.microsoft.com/office/drawing/2014/main" id="{4EF039DB-7438-43E7-B436-05034E1DE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402875</xdr:colOff>
      <xdr:row>84</xdr:row>
      <xdr:rowOff>136072</xdr:rowOff>
    </xdr:from>
    <xdr:to>
      <xdr:col>16</xdr:col>
      <xdr:colOff>789215</xdr:colOff>
      <xdr:row>98</xdr:row>
      <xdr:rowOff>68035</xdr:rowOff>
    </xdr:to>
    <xdr:graphicFrame macro="">
      <xdr:nvGraphicFramePr>
        <xdr:cNvPr id="14" name="Kaavio 4">
          <a:extLst>
            <a:ext uri="{FF2B5EF4-FFF2-40B4-BE49-F238E27FC236}">
              <a16:creationId xmlns:a16="http://schemas.microsoft.com/office/drawing/2014/main" id="{5D4712CC-78E8-493E-9CE2-E869FE649A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316166</xdr:colOff>
      <xdr:row>24</xdr:row>
      <xdr:rowOff>91249</xdr:rowOff>
    </xdr:from>
    <xdr:to>
      <xdr:col>7</xdr:col>
      <xdr:colOff>696070</xdr:colOff>
      <xdr:row>39</xdr:row>
      <xdr:rowOff>8167</xdr:rowOff>
    </xdr:to>
    <xdr:graphicFrame macro="">
      <xdr:nvGraphicFramePr>
        <xdr:cNvPr id="16" name="Kaavio 8">
          <a:extLst>
            <a:ext uri="{FF2B5EF4-FFF2-40B4-BE49-F238E27FC236}">
              <a16:creationId xmlns:a16="http://schemas.microsoft.com/office/drawing/2014/main" id="{B84934D8-57C5-4F5F-93BD-41173D83AC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824830" y="10735234"/>
    <xdr:ext cx="4296258" cy="202826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C513AE-987C-44FE-9258-AA4F8B299E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  <xdr:absoluteAnchor>
    <xdr:pos x="1141106" y="14601265"/>
    <xdr:ext cx="4439423" cy="2193202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97ACB3F-40FA-4C93-B145-E4D6F1A575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absoluteAnchor>
  <xdr:absoluteAnchor>
    <xdr:pos x="18190277" y="10847294"/>
    <xdr:ext cx="4512842" cy="1804380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77206D1-5ADC-404F-AC7A-F6DA1A777A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absoluteAnchor>
  <xdr:absoluteAnchor>
    <xdr:pos x="9192808" y="10813676"/>
    <xdr:ext cx="4086163" cy="2008690"/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FCBE290-D3B4-4B6C-903E-CECA20A706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absoluteAnchor>
  <xdr:absoluteAnchor>
    <xdr:pos x="9341837" y="14881412"/>
    <xdr:ext cx="4217281" cy="2030018"/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B6D5E7B-F7D1-4C77-AF92-C537EA99B7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absoluteAnchor>
  <xdr:absoluteAnchor>
    <xdr:pos x="2089501" y="18489706"/>
    <xdr:ext cx="3603088" cy="2138511"/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22AC4DD-B63A-4D57-A42C-B6B31A694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absoluteAnchor>
  <xdr:absoluteAnchor>
    <xdr:pos x="9873170" y="18758647"/>
    <xdr:ext cx="3461830" cy="1677290"/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50B796C-D943-4419-A41E-579F95EAB7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absoluteAnchor>
  <xdr:absoluteAnchor>
    <xdr:pos x="18538194" y="15083917"/>
    <xdr:ext cx="4443470" cy="1792844"/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6EF9C3C5-529D-4C90-96E9-CF339CC5E2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absoluteAnchor>
  <xdr:absoluteAnchor>
    <xdr:pos x="18718695" y="18848293"/>
    <xdr:ext cx="4253364" cy="1694731"/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E5FA40E3-DAD9-4A39-8D22-393BDCD408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absoluteAnchor>
  <xdr:absoluteAnchor>
    <xdr:pos x="1532412" y="6936441"/>
    <xdr:ext cx="3611088" cy="1855547"/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D1D36340-4545-4DE7-9EF9-1339E66735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absoluteAnchor>
  <xdr:absoluteAnchor>
    <xdr:pos x="9405632" y="6869206"/>
    <xdr:ext cx="3638015" cy="2134940"/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D8581ED9-07CF-47F9-B1BE-57E51A6F46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absoluteAnchor>
  <xdr:absoluteAnchor>
    <xdr:pos x="18165536" y="6790765"/>
    <xdr:ext cx="3977288" cy="2236534"/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24289CE4-72A0-4B78-B220-E28BDD775F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750794</xdr:colOff>
      <xdr:row>86</xdr:row>
      <xdr:rowOff>190219</xdr:rowOff>
    </xdr:from>
    <xdr:to>
      <xdr:col>6</xdr:col>
      <xdr:colOff>217113</xdr:colOff>
      <xdr:row>101</xdr:row>
      <xdr:rowOff>75919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0A555BF-E1BE-454A-8963-2838D91BB4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232632</xdr:colOff>
      <xdr:row>105</xdr:row>
      <xdr:rowOff>19967</xdr:rowOff>
    </xdr:from>
    <xdr:to>
      <xdr:col>16</xdr:col>
      <xdr:colOff>947406</xdr:colOff>
      <xdr:row>119</xdr:row>
      <xdr:rowOff>96167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99F2556-4F20-4855-84ED-9942E8DCF7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201196</xdr:colOff>
      <xdr:row>87</xdr:row>
      <xdr:rowOff>38099</xdr:rowOff>
    </xdr:from>
    <xdr:to>
      <xdr:col>24</xdr:col>
      <xdr:colOff>304799</xdr:colOff>
      <xdr:row>100</xdr:row>
      <xdr:rowOff>79560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3DC3AE9-1165-487F-9244-E4A7E418B8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96268</xdr:colOff>
      <xdr:row>66</xdr:row>
      <xdr:rowOff>116235</xdr:rowOff>
    </xdr:from>
    <xdr:to>
      <xdr:col>24</xdr:col>
      <xdr:colOff>79968</xdr:colOff>
      <xdr:row>81</xdr:row>
      <xdr:rowOff>1935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102849D-D5D4-4294-A1F6-C2634D763D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1264101</xdr:colOff>
      <xdr:row>104</xdr:row>
      <xdr:rowOff>172264</xdr:rowOff>
    </xdr:from>
    <xdr:to>
      <xdr:col>21</xdr:col>
      <xdr:colOff>376926</xdr:colOff>
      <xdr:row>119</xdr:row>
      <xdr:rowOff>57964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A5EF520-A044-4502-9711-1A71B80298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195464</xdr:colOff>
      <xdr:row>120</xdr:row>
      <xdr:rowOff>104774</xdr:rowOff>
    </xdr:from>
    <xdr:to>
      <xdr:col>16</xdr:col>
      <xdr:colOff>832290</xdr:colOff>
      <xdr:row>134</xdr:row>
      <xdr:rowOff>180974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370C3044-2EDC-4DDA-B991-F14830E942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714119</xdr:colOff>
      <xdr:row>46</xdr:row>
      <xdr:rowOff>45944</xdr:rowOff>
    </xdr:from>
    <xdr:to>
      <xdr:col>23</xdr:col>
      <xdr:colOff>1676808</xdr:colOff>
      <xdr:row>60</xdr:row>
      <xdr:rowOff>179295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4DEA2650-D2E5-4A8C-8A23-654524DE5B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656462</xdr:colOff>
      <xdr:row>86</xdr:row>
      <xdr:rowOff>91685</xdr:rowOff>
    </xdr:from>
    <xdr:to>
      <xdr:col>15</xdr:col>
      <xdr:colOff>862650</xdr:colOff>
      <xdr:row>101</xdr:row>
      <xdr:rowOff>145473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673DFE6-8160-4119-A125-EA0CD4040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1061851</xdr:colOff>
      <xdr:row>120</xdr:row>
      <xdr:rowOff>59377</xdr:rowOff>
    </xdr:from>
    <xdr:to>
      <xdr:col>6</xdr:col>
      <xdr:colOff>582632</xdr:colOff>
      <xdr:row>134</xdr:row>
      <xdr:rowOff>156792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C077FAFF-0B57-4EFA-BA9E-3A842CB958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734786</xdr:colOff>
      <xdr:row>66</xdr:row>
      <xdr:rowOff>95250</xdr:rowOff>
    </xdr:from>
    <xdr:to>
      <xdr:col>6</xdr:col>
      <xdr:colOff>210511</xdr:colOff>
      <xdr:row>80</xdr:row>
      <xdr:rowOff>171450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8B769924-C28B-43E9-8CE4-B8C0FFD1DD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666750</xdr:colOff>
      <xdr:row>66</xdr:row>
      <xdr:rowOff>119062</xdr:rowOff>
    </xdr:from>
    <xdr:to>
      <xdr:col>15</xdr:col>
      <xdr:colOff>1014132</xdr:colOff>
      <xdr:row>81</xdr:row>
      <xdr:rowOff>4762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32098E59-0E52-4719-970A-4F40B55B01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51955</xdr:colOff>
      <xdr:row>105</xdr:row>
      <xdr:rowOff>0</xdr:rowOff>
    </xdr:from>
    <xdr:to>
      <xdr:col>11</xdr:col>
      <xdr:colOff>830126</xdr:colOff>
      <xdr:row>119</xdr:row>
      <xdr:rowOff>76200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B50F2E39-0310-40B4-9B1F-41289F1665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1056409</xdr:colOff>
      <xdr:row>104</xdr:row>
      <xdr:rowOff>155863</xdr:rowOff>
    </xdr:from>
    <xdr:to>
      <xdr:col>6</xdr:col>
      <xdr:colOff>535845</xdr:colOff>
      <xdr:row>119</xdr:row>
      <xdr:rowOff>41563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E1524504-7458-4DEC-92A6-32437C90A8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112570</xdr:colOff>
      <xdr:row>120</xdr:row>
      <xdr:rowOff>72984</xdr:rowOff>
    </xdr:from>
    <xdr:to>
      <xdr:col>12</xdr:col>
      <xdr:colOff>16156</xdr:colOff>
      <xdr:row>135</xdr:row>
      <xdr:rowOff>149184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69D787A5-22C8-4CCE-8B6B-3C17A306B6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</xdr:col>
      <xdr:colOff>212911</xdr:colOff>
      <xdr:row>46</xdr:row>
      <xdr:rowOff>44824</xdr:rowOff>
    </xdr:from>
    <xdr:to>
      <xdr:col>5</xdr:col>
      <xdr:colOff>820068</xdr:colOff>
      <xdr:row>61</xdr:row>
      <xdr:rowOff>121024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92C54CB8-FF0F-430F-B913-AAD5BB75F4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470646</xdr:colOff>
      <xdr:row>46</xdr:row>
      <xdr:rowOff>33617</xdr:rowOff>
    </xdr:from>
    <xdr:to>
      <xdr:col>15</xdr:col>
      <xdr:colOff>820066</xdr:colOff>
      <xdr:row>61</xdr:row>
      <xdr:rowOff>109817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BD95B047-DCFA-4FB0-848B-F19542A55B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571500</xdr:colOff>
      <xdr:row>26</xdr:row>
      <xdr:rowOff>69273</xdr:rowOff>
    </xdr:from>
    <xdr:to>
      <xdr:col>15</xdr:col>
      <xdr:colOff>905258</xdr:colOff>
      <xdr:row>40</xdr:row>
      <xdr:rowOff>145473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7F956FCD-E51C-45E9-AEBD-D518F0B9E9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20</xdr:col>
      <xdr:colOff>107674</xdr:colOff>
      <xdr:row>26</xdr:row>
      <xdr:rowOff>132522</xdr:rowOff>
    </xdr:from>
    <xdr:to>
      <xdr:col>24</xdr:col>
      <xdr:colOff>84527</xdr:colOff>
      <xdr:row>41</xdr:row>
      <xdr:rowOff>18222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0830D6E1-BEB6-4C97-B418-A94C587FAE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</xdr:col>
      <xdr:colOff>166688</xdr:colOff>
      <xdr:row>26</xdr:row>
      <xdr:rowOff>166688</xdr:rowOff>
    </xdr:from>
    <xdr:to>
      <xdr:col>5</xdr:col>
      <xdr:colOff>738570</xdr:colOff>
      <xdr:row>41</xdr:row>
      <xdr:rowOff>52388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9ACDDE7C-90C4-44D3-B639-BCA2884FF9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750794</xdr:colOff>
      <xdr:row>89</xdr:row>
      <xdr:rowOff>190219</xdr:rowOff>
    </xdr:from>
    <xdr:to>
      <xdr:col>6</xdr:col>
      <xdr:colOff>217113</xdr:colOff>
      <xdr:row>104</xdr:row>
      <xdr:rowOff>75919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8BE690-BD4B-48AF-8DAC-CAE12D6495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201196</xdr:colOff>
      <xdr:row>90</xdr:row>
      <xdr:rowOff>38099</xdr:rowOff>
    </xdr:from>
    <xdr:to>
      <xdr:col>15</xdr:col>
      <xdr:colOff>304799</xdr:colOff>
      <xdr:row>103</xdr:row>
      <xdr:rowOff>79560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8AF8311-3155-4593-A43C-B54FDC5CF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734786</xdr:colOff>
      <xdr:row>69</xdr:row>
      <xdr:rowOff>95250</xdr:rowOff>
    </xdr:from>
    <xdr:to>
      <xdr:col>6</xdr:col>
      <xdr:colOff>210511</xdr:colOff>
      <xdr:row>83</xdr:row>
      <xdr:rowOff>171450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5523211-2424-4860-A642-9D96D4B1DC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666750</xdr:colOff>
      <xdr:row>69</xdr:row>
      <xdr:rowOff>119062</xdr:rowOff>
    </xdr:from>
    <xdr:to>
      <xdr:col>15</xdr:col>
      <xdr:colOff>1014132</xdr:colOff>
      <xdr:row>84</xdr:row>
      <xdr:rowOff>4762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7B922D59-8DC5-4DEE-A2F8-104F594EC5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571500</xdr:colOff>
      <xdr:row>29</xdr:row>
      <xdr:rowOff>69273</xdr:rowOff>
    </xdr:from>
    <xdr:to>
      <xdr:col>15</xdr:col>
      <xdr:colOff>905258</xdr:colOff>
      <xdr:row>43</xdr:row>
      <xdr:rowOff>145473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CA7AF817-9806-43BF-97B5-8BF1221CAC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107674</xdr:colOff>
      <xdr:row>29</xdr:row>
      <xdr:rowOff>132522</xdr:rowOff>
    </xdr:from>
    <xdr:to>
      <xdr:col>24</xdr:col>
      <xdr:colOff>84527</xdr:colOff>
      <xdr:row>44</xdr:row>
      <xdr:rowOff>18222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15F59C12-43D2-44A2-AC61-2CF0B12FF9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166688</xdr:colOff>
      <xdr:row>29</xdr:row>
      <xdr:rowOff>166688</xdr:rowOff>
    </xdr:from>
    <xdr:to>
      <xdr:col>5</xdr:col>
      <xdr:colOff>738570</xdr:colOff>
      <xdr:row>44</xdr:row>
      <xdr:rowOff>52388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D8DDF739-A2DE-4733-8DD6-2514D04CB6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692727</xdr:colOff>
      <xdr:row>50</xdr:row>
      <xdr:rowOff>17319</xdr:rowOff>
    </xdr:from>
    <xdr:to>
      <xdr:col>5</xdr:col>
      <xdr:colOff>462862</xdr:colOff>
      <xdr:row>64</xdr:row>
      <xdr:rowOff>93519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CE278D5-BD53-427E-9BA9-E86F2AC407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294409</xdr:colOff>
      <xdr:row>49</xdr:row>
      <xdr:rowOff>138546</xdr:rowOff>
    </xdr:from>
    <xdr:to>
      <xdr:col>15</xdr:col>
      <xdr:colOff>670680</xdr:colOff>
      <xdr:row>64</xdr:row>
      <xdr:rowOff>24246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90E62BEA-EE91-4A0A-B90B-1A882B6542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571500</xdr:colOff>
      <xdr:row>49</xdr:row>
      <xdr:rowOff>152400</xdr:rowOff>
    </xdr:from>
    <xdr:to>
      <xdr:col>23</xdr:col>
      <xdr:colOff>1328771</xdr:colOff>
      <xdr:row>64</xdr:row>
      <xdr:rowOff>38100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FEB5EEE4-4FA7-462E-9B3E-8CFF093677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19</xdr:col>
      <xdr:colOff>294409</xdr:colOff>
      <xdr:row>69</xdr:row>
      <xdr:rowOff>103909</xdr:rowOff>
    </xdr:from>
    <xdr:to>
      <xdr:col>23</xdr:col>
      <xdr:colOff>1022791</xdr:colOff>
      <xdr:row>83</xdr:row>
      <xdr:rowOff>180109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8CA2E8CE-FB37-4CFB-87C0-42B3923EA9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980515</xdr:colOff>
      <xdr:row>34</xdr:row>
      <xdr:rowOff>62754</xdr:rowOff>
    </xdr:from>
    <xdr:to>
      <xdr:col>6</xdr:col>
      <xdr:colOff>739588</xdr:colOff>
      <xdr:row>48</xdr:row>
      <xdr:rowOff>123264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7A8F41A-87A7-4C6F-9A35-908AABE772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720232</xdr:colOff>
      <xdr:row>34</xdr:row>
      <xdr:rowOff>97797</xdr:rowOff>
    </xdr:from>
    <xdr:to>
      <xdr:col>15</xdr:col>
      <xdr:colOff>479305</xdr:colOff>
      <xdr:row>48</xdr:row>
      <xdr:rowOff>158307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2D6197F-7137-4A90-8FD8-84964DEBD8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1212272</xdr:colOff>
      <xdr:row>54</xdr:row>
      <xdr:rowOff>86591</xdr:rowOff>
    </xdr:from>
    <xdr:to>
      <xdr:col>6</xdr:col>
      <xdr:colOff>590345</xdr:colOff>
      <xdr:row>68</xdr:row>
      <xdr:rowOff>147101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8E8CA333-AF8F-4A08-94DF-029D7390FA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806824</xdr:colOff>
      <xdr:row>54</xdr:row>
      <xdr:rowOff>89647</xdr:rowOff>
    </xdr:from>
    <xdr:to>
      <xdr:col>15</xdr:col>
      <xdr:colOff>554691</xdr:colOff>
      <xdr:row>68</xdr:row>
      <xdr:rowOff>150157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C8155251-9FBF-4265-B572-5D8B3066D6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44824</xdr:colOff>
      <xdr:row>74</xdr:row>
      <xdr:rowOff>100852</xdr:rowOff>
    </xdr:from>
    <xdr:to>
      <xdr:col>14</xdr:col>
      <xdr:colOff>935691</xdr:colOff>
      <xdr:row>88</xdr:row>
      <xdr:rowOff>161362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587B2EC5-3971-4AA3-99C4-36923DC470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831273</xdr:colOff>
      <xdr:row>74</xdr:row>
      <xdr:rowOff>51955</xdr:rowOff>
    </xdr:from>
    <xdr:to>
      <xdr:col>6</xdr:col>
      <xdr:colOff>579140</xdr:colOff>
      <xdr:row>88</xdr:row>
      <xdr:rowOff>112465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C372EA67-58E4-4619-AF57-F2805E1F85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55</xdr:row>
      <xdr:rowOff>0</xdr:rowOff>
    </xdr:from>
    <xdr:to>
      <xdr:col>24</xdr:col>
      <xdr:colOff>614642</xdr:colOff>
      <xdr:row>69</xdr:row>
      <xdr:rowOff>60510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BF04D4C1-1AAA-4852-96EF-210F8EDA6D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122465</xdr:colOff>
      <xdr:row>74</xdr:row>
      <xdr:rowOff>95250</xdr:rowOff>
    </xdr:from>
    <xdr:to>
      <xdr:col>24</xdr:col>
      <xdr:colOff>727582</xdr:colOff>
      <xdr:row>88</xdr:row>
      <xdr:rowOff>155760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DCA34147-A734-4029-8922-02095BBFC0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504825</xdr:colOff>
      <xdr:row>194</xdr:row>
      <xdr:rowOff>133350</xdr:rowOff>
    </xdr:from>
    <xdr:to>
      <xdr:col>32</xdr:col>
      <xdr:colOff>200025</xdr:colOff>
      <xdr:row>209</xdr:row>
      <xdr:rowOff>19050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1FD9737-F82E-4A79-9879-DB6D6A40BB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180975</xdr:colOff>
      <xdr:row>194</xdr:row>
      <xdr:rowOff>90488</xdr:rowOff>
    </xdr:from>
    <xdr:to>
      <xdr:col>40</xdr:col>
      <xdr:colOff>485775</xdr:colOff>
      <xdr:row>208</xdr:row>
      <xdr:rowOff>166688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C1F761D-B393-4E43-9A97-0B57745101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136072</xdr:colOff>
      <xdr:row>45</xdr:row>
      <xdr:rowOff>136072</xdr:rowOff>
    </xdr:from>
    <xdr:to>
      <xdr:col>5</xdr:col>
      <xdr:colOff>141515</xdr:colOff>
      <xdr:row>57</xdr:row>
      <xdr:rowOff>178935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9B31C4FC-75E2-4D8E-8672-750E05A42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81642</xdr:colOff>
      <xdr:row>64</xdr:row>
      <xdr:rowOff>68035</xdr:rowOff>
    </xdr:from>
    <xdr:to>
      <xdr:col>5</xdr:col>
      <xdr:colOff>87085</xdr:colOff>
      <xdr:row>79</xdr:row>
      <xdr:rowOff>144235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94F6A329-5256-4FF2-AC91-76E70C5A77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653143</xdr:colOff>
      <xdr:row>84</xdr:row>
      <xdr:rowOff>95249</xdr:rowOff>
    </xdr:from>
    <xdr:to>
      <xdr:col>6</xdr:col>
      <xdr:colOff>46265</xdr:colOff>
      <xdr:row>98</xdr:row>
      <xdr:rowOff>171449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68368626-39CB-478B-8553-6F3880342F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215968</xdr:colOff>
      <xdr:row>44</xdr:row>
      <xdr:rowOff>29544</xdr:rowOff>
    </xdr:from>
    <xdr:to>
      <xdr:col>16</xdr:col>
      <xdr:colOff>519749</xdr:colOff>
      <xdr:row>59</xdr:row>
      <xdr:rowOff>105744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3CADB566-B734-4292-9704-CBE9BCC837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347382</xdr:colOff>
      <xdr:row>84</xdr:row>
      <xdr:rowOff>134471</xdr:rowOff>
    </xdr:from>
    <xdr:to>
      <xdr:col>16</xdr:col>
      <xdr:colOff>466573</xdr:colOff>
      <xdr:row>98</xdr:row>
      <xdr:rowOff>133452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EA264DA1-5CA7-4D6E-B74F-AC685E1B18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122959</xdr:colOff>
      <xdr:row>85</xdr:row>
      <xdr:rowOff>133350</xdr:rowOff>
    </xdr:from>
    <xdr:to>
      <xdr:col>25</xdr:col>
      <xdr:colOff>333375</xdr:colOff>
      <xdr:row>99</xdr:row>
      <xdr:rowOff>89188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6F19C963-93D5-46DF-BE83-791947ACA8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176893</xdr:colOff>
      <xdr:row>65</xdr:row>
      <xdr:rowOff>176893</xdr:rowOff>
    </xdr:from>
    <xdr:to>
      <xdr:col>16</xdr:col>
      <xdr:colOff>435428</xdr:colOff>
      <xdr:row>79</xdr:row>
      <xdr:rowOff>54429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63CD8B45-0707-46A7-AF43-7EF4BF0AC1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18</xdr:col>
      <xdr:colOff>217713</xdr:colOff>
      <xdr:row>64</xdr:row>
      <xdr:rowOff>149678</xdr:rowOff>
    </xdr:from>
    <xdr:to>
      <xdr:col>25</xdr:col>
      <xdr:colOff>525234</xdr:colOff>
      <xdr:row>79</xdr:row>
      <xdr:rowOff>35378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4697BE34-D933-47AA-9F8C-A86A358566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67235</xdr:colOff>
      <xdr:row>26</xdr:row>
      <xdr:rowOff>123264</xdr:rowOff>
    </xdr:from>
    <xdr:to>
      <xdr:col>5</xdr:col>
      <xdr:colOff>72678</xdr:colOff>
      <xdr:row>38</xdr:row>
      <xdr:rowOff>166127</xdr:rowOff>
    </xdr:to>
    <xdr:graphicFrame macro="">
      <xdr:nvGraphicFramePr>
        <xdr:cNvPr id="53" name="Chart 52">
          <a:extLst>
            <a:ext uri="{FF2B5EF4-FFF2-40B4-BE49-F238E27FC236}">
              <a16:creationId xmlns:a16="http://schemas.microsoft.com/office/drawing/2014/main" id="{1C08599A-BC56-47FC-BCB0-77A9AD78E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291352</xdr:colOff>
      <xdr:row>25</xdr:row>
      <xdr:rowOff>145677</xdr:rowOff>
    </xdr:from>
    <xdr:to>
      <xdr:col>16</xdr:col>
      <xdr:colOff>308001</xdr:colOff>
      <xdr:row>37</xdr:row>
      <xdr:rowOff>188540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B4CAB67D-567A-4FD6-BACE-83787F407D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18</xdr:col>
      <xdr:colOff>268942</xdr:colOff>
      <xdr:row>25</xdr:row>
      <xdr:rowOff>67235</xdr:rowOff>
    </xdr:from>
    <xdr:to>
      <xdr:col>25</xdr:col>
      <xdr:colOff>448236</xdr:colOff>
      <xdr:row>38</xdr:row>
      <xdr:rowOff>11205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F550069C-CAD5-4533-83B0-F28F3B9A14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136072</xdr:colOff>
      <xdr:row>45</xdr:row>
      <xdr:rowOff>136072</xdr:rowOff>
    </xdr:from>
    <xdr:to>
      <xdr:col>5</xdr:col>
      <xdr:colOff>141515</xdr:colOff>
      <xdr:row>57</xdr:row>
      <xdr:rowOff>178935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290C83E-E349-43FD-8239-73B5BF468F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81642</xdr:colOff>
      <xdr:row>64</xdr:row>
      <xdr:rowOff>68035</xdr:rowOff>
    </xdr:from>
    <xdr:to>
      <xdr:col>5</xdr:col>
      <xdr:colOff>87085</xdr:colOff>
      <xdr:row>79</xdr:row>
      <xdr:rowOff>144235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3BA16C4-0444-4915-B0BE-E6CAD8AF6D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653143</xdr:colOff>
      <xdr:row>84</xdr:row>
      <xdr:rowOff>95249</xdr:rowOff>
    </xdr:from>
    <xdr:to>
      <xdr:col>6</xdr:col>
      <xdr:colOff>46265</xdr:colOff>
      <xdr:row>98</xdr:row>
      <xdr:rowOff>171449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4B07E6E-3749-48FE-96C9-14E6EBB65E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347382</xdr:colOff>
      <xdr:row>84</xdr:row>
      <xdr:rowOff>134471</xdr:rowOff>
    </xdr:from>
    <xdr:to>
      <xdr:col>16</xdr:col>
      <xdr:colOff>466573</xdr:colOff>
      <xdr:row>98</xdr:row>
      <xdr:rowOff>133452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4D6DB2D-364A-4544-BD49-95A394545D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122959</xdr:colOff>
      <xdr:row>85</xdr:row>
      <xdr:rowOff>10085</xdr:rowOff>
    </xdr:from>
    <xdr:to>
      <xdr:col>25</xdr:col>
      <xdr:colOff>333375</xdr:colOff>
      <xdr:row>98</xdr:row>
      <xdr:rowOff>156423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86F85B5-0068-4A4C-A997-10E6BA9EFD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176893</xdr:colOff>
      <xdr:row>65</xdr:row>
      <xdr:rowOff>176893</xdr:rowOff>
    </xdr:from>
    <xdr:to>
      <xdr:col>16</xdr:col>
      <xdr:colOff>435428</xdr:colOff>
      <xdr:row>79</xdr:row>
      <xdr:rowOff>54429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6DA983E-3345-46BE-9B1D-E56800CF53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217713</xdr:colOff>
      <xdr:row>64</xdr:row>
      <xdr:rowOff>149678</xdr:rowOff>
    </xdr:from>
    <xdr:to>
      <xdr:col>25</xdr:col>
      <xdr:colOff>525234</xdr:colOff>
      <xdr:row>79</xdr:row>
      <xdr:rowOff>35378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9078C2E-0241-4F0B-8F9E-51DD66574F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67235</xdr:colOff>
      <xdr:row>26</xdr:row>
      <xdr:rowOff>123264</xdr:rowOff>
    </xdr:from>
    <xdr:to>
      <xdr:col>5</xdr:col>
      <xdr:colOff>72678</xdr:colOff>
      <xdr:row>38</xdr:row>
      <xdr:rowOff>166127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64D2437C-FE7B-4949-9762-EE2C610412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291352</xdr:colOff>
      <xdr:row>25</xdr:row>
      <xdr:rowOff>145677</xdr:rowOff>
    </xdr:from>
    <xdr:to>
      <xdr:col>16</xdr:col>
      <xdr:colOff>308001</xdr:colOff>
      <xdr:row>37</xdr:row>
      <xdr:rowOff>188540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D328BF4F-6D14-4C58-9EAB-0262C037FB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18</xdr:col>
      <xdr:colOff>268942</xdr:colOff>
      <xdr:row>25</xdr:row>
      <xdr:rowOff>67235</xdr:rowOff>
    </xdr:from>
    <xdr:to>
      <xdr:col>25</xdr:col>
      <xdr:colOff>448236</xdr:colOff>
      <xdr:row>38</xdr:row>
      <xdr:rowOff>11205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82174AD-EE6B-48B1-95DA-102DC895D4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Study\2AALTO\Study\AALTO%20TA\PNA\Database\Ship%20statistics\Ansari%20et%20al%20-%20Baltic%20Cleaner%20-%20Assignment%20Vessel%20Colle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4"/>
    </sheetNames>
    <sheetDataSet>
      <sheetData sheetId="0"/>
      <sheetData sheetId="1">
        <row r="166">
          <cell r="A166">
            <v>0.12</v>
          </cell>
          <cell r="B166">
            <v>1</v>
          </cell>
        </row>
        <row r="167">
          <cell r="A167">
            <v>0.15</v>
          </cell>
          <cell r="B167">
            <v>1</v>
          </cell>
        </row>
        <row r="168">
          <cell r="A168">
            <v>0.18</v>
          </cell>
          <cell r="B168">
            <v>1</v>
          </cell>
        </row>
        <row r="169">
          <cell r="A169">
            <v>0.21</v>
          </cell>
          <cell r="B169">
            <v>1</v>
          </cell>
        </row>
        <row r="170">
          <cell r="A170">
            <v>0.22</v>
          </cell>
          <cell r="B170">
            <v>2</v>
          </cell>
        </row>
        <row r="171">
          <cell r="A171">
            <v>0.23</v>
          </cell>
          <cell r="B171">
            <v>2</v>
          </cell>
        </row>
        <row r="172">
          <cell r="A172">
            <v>0.24</v>
          </cell>
          <cell r="B172">
            <v>3</v>
          </cell>
        </row>
        <row r="173">
          <cell r="A173">
            <v>0.25</v>
          </cell>
          <cell r="B173">
            <v>4</v>
          </cell>
        </row>
        <row r="174">
          <cell r="A174">
            <v>0.26</v>
          </cell>
          <cell r="B174">
            <v>9</v>
          </cell>
        </row>
        <row r="175">
          <cell r="A175">
            <v>0.27</v>
          </cell>
          <cell r="B175">
            <v>7</v>
          </cell>
        </row>
        <row r="176">
          <cell r="A176">
            <v>0.28000000000000003</v>
          </cell>
          <cell r="B176">
            <v>8</v>
          </cell>
        </row>
        <row r="177">
          <cell r="A177">
            <v>0.28999999999999998</v>
          </cell>
          <cell r="B177">
            <v>9</v>
          </cell>
        </row>
        <row r="178">
          <cell r="A178">
            <v>0.3</v>
          </cell>
          <cell r="B178">
            <v>3</v>
          </cell>
        </row>
        <row r="179">
          <cell r="A179">
            <v>0.31</v>
          </cell>
          <cell r="B179">
            <v>3</v>
          </cell>
        </row>
        <row r="180">
          <cell r="A180">
            <v>0.32</v>
          </cell>
          <cell r="B180">
            <v>1</v>
          </cell>
        </row>
        <row r="181">
          <cell r="A181">
            <v>0.35</v>
          </cell>
          <cell r="B181">
            <v>1</v>
          </cell>
        </row>
        <row r="182">
          <cell r="A182">
            <v>0.36</v>
          </cell>
          <cell r="B182">
            <v>1</v>
          </cell>
        </row>
        <row r="186">
          <cell r="A186">
            <v>0.36</v>
          </cell>
          <cell r="B186">
            <v>1</v>
          </cell>
        </row>
        <row r="187">
          <cell r="A187">
            <v>0.37</v>
          </cell>
          <cell r="B187">
            <v>1</v>
          </cell>
        </row>
        <row r="188">
          <cell r="A188">
            <v>0.4</v>
          </cell>
          <cell r="B188">
            <v>1</v>
          </cell>
        </row>
        <row r="189">
          <cell r="A189">
            <v>0.46</v>
          </cell>
          <cell r="B189">
            <v>3</v>
          </cell>
        </row>
        <row r="190">
          <cell r="A190">
            <v>0.47</v>
          </cell>
          <cell r="B190">
            <v>2</v>
          </cell>
        </row>
        <row r="191">
          <cell r="A191">
            <v>0.48</v>
          </cell>
          <cell r="B191">
            <v>1</v>
          </cell>
        </row>
        <row r="192">
          <cell r="A192">
            <v>0.5</v>
          </cell>
          <cell r="B192">
            <v>2</v>
          </cell>
        </row>
        <row r="193">
          <cell r="A193">
            <v>0.51</v>
          </cell>
          <cell r="B193">
            <v>1</v>
          </cell>
        </row>
        <row r="194">
          <cell r="A194">
            <v>0.52</v>
          </cell>
          <cell r="B194">
            <v>2</v>
          </cell>
        </row>
        <row r="195">
          <cell r="A195">
            <v>0.53</v>
          </cell>
          <cell r="B195">
            <v>1</v>
          </cell>
        </row>
        <row r="196">
          <cell r="A196">
            <v>0.54</v>
          </cell>
          <cell r="B196">
            <v>5</v>
          </cell>
        </row>
        <row r="197">
          <cell r="A197">
            <v>0.55000000000000004</v>
          </cell>
          <cell r="B197">
            <v>3</v>
          </cell>
        </row>
        <row r="198">
          <cell r="A198">
            <v>0.56000000000000005</v>
          </cell>
          <cell r="B198">
            <v>3</v>
          </cell>
        </row>
        <row r="199">
          <cell r="A199">
            <v>0.56999999999999995</v>
          </cell>
          <cell r="B199">
            <v>2</v>
          </cell>
        </row>
        <row r="200">
          <cell r="A200">
            <v>0.57999999999999996</v>
          </cell>
          <cell r="B200">
            <v>4</v>
          </cell>
        </row>
        <row r="201">
          <cell r="A201">
            <v>0.59</v>
          </cell>
          <cell r="B201">
            <v>1</v>
          </cell>
        </row>
        <row r="202">
          <cell r="A202">
            <v>0.6</v>
          </cell>
          <cell r="B202">
            <v>1</v>
          </cell>
        </row>
        <row r="203">
          <cell r="A203">
            <v>0.61</v>
          </cell>
          <cell r="B203">
            <v>1</v>
          </cell>
        </row>
        <row r="204">
          <cell r="A204">
            <v>0.62</v>
          </cell>
          <cell r="B204">
            <v>3</v>
          </cell>
        </row>
        <row r="205">
          <cell r="A205">
            <v>0.64</v>
          </cell>
          <cell r="B205">
            <v>2</v>
          </cell>
        </row>
        <row r="206">
          <cell r="A206">
            <v>0.65</v>
          </cell>
          <cell r="B206">
            <v>2</v>
          </cell>
        </row>
        <row r="207">
          <cell r="A207">
            <v>0.66</v>
          </cell>
          <cell r="B207">
            <v>2</v>
          </cell>
        </row>
        <row r="208">
          <cell r="A208">
            <v>0.67</v>
          </cell>
          <cell r="B208">
            <v>1</v>
          </cell>
        </row>
        <row r="209">
          <cell r="A209">
            <v>0.68</v>
          </cell>
          <cell r="B209">
            <v>1</v>
          </cell>
        </row>
        <row r="210">
          <cell r="A210">
            <v>0.69</v>
          </cell>
          <cell r="B210">
            <v>1</v>
          </cell>
        </row>
        <row r="211">
          <cell r="A211">
            <v>0.7</v>
          </cell>
          <cell r="B211">
            <v>2</v>
          </cell>
        </row>
        <row r="212">
          <cell r="A212">
            <v>0.71</v>
          </cell>
          <cell r="B212">
            <v>1</v>
          </cell>
        </row>
        <row r="213">
          <cell r="A213">
            <v>0.74</v>
          </cell>
          <cell r="B21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hip-technology.com/projects/atlantic-mercy-hospital-ship/" TargetMode="External"/><Relationship Id="rId2" Type="http://schemas.openxmlformats.org/officeDocument/2006/relationships/hyperlink" Target="https://www.mercyships.org/ships/africa-mercy/" TargetMode="External"/><Relationship Id="rId1" Type="http://schemas.openxmlformats.org/officeDocument/2006/relationships/hyperlink" Target="http://www.scheepvaartwest.be/CMS/index.php/passengers-cruise/2613-albatros-imo-7304314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upplyvessel.net/offshore-vessels/bourbon-surf" TargetMode="External"/><Relationship Id="rId18" Type="http://schemas.openxmlformats.org/officeDocument/2006/relationships/hyperlink" Target="http://www.supplyvessel.net/offshore-vessels/bourbon-orca" TargetMode="External"/><Relationship Id="rId26" Type="http://schemas.openxmlformats.org/officeDocument/2006/relationships/hyperlink" Target="http://www.supplyvessel.net/offshore-vessels/havila-favour" TargetMode="External"/><Relationship Id="rId39" Type="http://schemas.openxmlformats.org/officeDocument/2006/relationships/hyperlink" Target="http://www.supplyvessel.net/offshore-vessels/northern-crusader" TargetMode="External"/><Relationship Id="rId21" Type="http://schemas.openxmlformats.org/officeDocument/2006/relationships/hyperlink" Target="http://www.supplyvessel.net/offshore-vessels/normand-carrier" TargetMode="External"/><Relationship Id="rId34" Type="http://schemas.openxmlformats.org/officeDocument/2006/relationships/hyperlink" Target="http://www.supplyvessel.net/offshore-vessels/ocean-king" TargetMode="External"/><Relationship Id="rId42" Type="http://schemas.openxmlformats.org/officeDocument/2006/relationships/hyperlink" Target="http://www.supplyvessel.net/offshore-vessels/viking-athene" TargetMode="External"/><Relationship Id="rId47" Type="http://schemas.openxmlformats.org/officeDocument/2006/relationships/hyperlink" Target="http://www.supplyvessel.net/offshore-vessels/viking-surf" TargetMode="External"/><Relationship Id="rId50" Type="http://schemas.openxmlformats.org/officeDocument/2006/relationships/hyperlink" Target="http://www.supplyvessel.net/offshore-vessels/ocean-spirit" TargetMode="External"/><Relationship Id="rId55" Type="http://schemas.openxmlformats.org/officeDocument/2006/relationships/printerSettings" Target="../printerSettings/printerSettings5.bin"/><Relationship Id="rId7" Type="http://schemas.openxmlformats.org/officeDocument/2006/relationships/hyperlink" Target="http://www.supplyvessel.net/offshore-vessels/bourbon-pearl" TargetMode="External"/><Relationship Id="rId12" Type="http://schemas.openxmlformats.org/officeDocument/2006/relationships/hyperlink" Target="http://www.supplyvessel.net/offshore-vessels/normand-flipper" TargetMode="External"/><Relationship Id="rId17" Type="http://schemas.openxmlformats.org/officeDocument/2006/relationships/hyperlink" Target="http://www.supplyvessel.net/offshore-vessels/bourbon-topaz" TargetMode="External"/><Relationship Id="rId25" Type="http://schemas.openxmlformats.org/officeDocument/2006/relationships/hyperlink" Target="http://www.supplyvessel.net/offshore-vessels/havila-fortress" TargetMode="External"/><Relationship Id="rId33" Type="http://schemas.openxmlformats.org/officeDocument/2006/relationships/hyperlink" Target="http://www.supplyvessel.net/offshore-vessels/bourbon-crown" TargetMode="External"/><Relationship Id="rId38" Type="http://schemas.openxmlformats.org/officeDocument/2006/relationships/hyperlink" Target="http://www.supplyvessel.net/offshore-vessels/odin-viking" TargetMode="External"/><Relationship Id="rId46" Type="http://schemas.openxmlformats.org/officeDocument/2006/relationships/hyperlink" Target="http://www.supplyvessel.net/offshore-vessels/kl-arendalfjord" TargetMode="External"/><Relationship Id="rId2" Type="http://schemas.openxmlformats.org/officeDocument/2006/relationships/hyperlink" Target="http://www.supplyvessel.net/offshore-vessels/havila-foresight" TargetMode="External"/><Relationship Id="rId16" Type="http://schemas.openxmlformats.org/officeDocument/2006/relationships/hyperlink" Target="http://www.supplyvessel.net/offshore-vessels/normand-aurora" TargetMode="External"/><Relationship Id="rId20" Type="http://schemas.openxmlformats.org/officeDocument/2006/relationships/hyperlink" Target="http://www.supplyvessel.net/offshore-vessels/havila-mars" TargetMode="External"/><Relationship Id="rId29" Type="http://schemas.openxmlformats.org/officeDocument/2006/relationships/hyperlink" Target="http://www.supplyvessel.net/offshore-vessels/normand-mariner" TargetMode="External"/><Relationship Id="rId41" Type="http://schemas.openxmlformats.org/officeDocument/2006/relationships/hyperlink" Target="http://www.supplyvessel.net/offshore-vessels/havila-princess" TargetMode="External"/><Relationship Id="rId54" Type="http://schemas.openxmlformats.org/officeDocument/2006/relationships/hyperlink" Target="http://www.supplyvessel.net/offshore-vessels/adams-arrow" TargetMode="External"/><Relationship Id="rId1" Type="http://schemas.openxmlformats.org/officeDocument/2006/relationships/hyperlink" Target="http://www.supplyvessel.net/offshore-vessels/viking-energy" TargetMode="External"/><Relationship Id="rId6" Type="http://schemas.openxmlformats.org/officeDocument/2006/relationships/hyperlink" Target="http://www.supplyvessel.net/offshore-vessels/bourbon-peridot" TargetMode="External"/><Relationship Id="rId11" Type="http://schemas.openxmlformats.org/officeDocument/2006/relationships/hyperlink" Target="http://www.supplyvessel.net/offshore-vessels/bourbon-mistral" TargetMode="External"/><Relationship Id="rId24" Type="http://schemas.openxmlformats.org/officeDocument/2006/relationships/hyperlink" Target="http://www.supplyvessel.net/offshore-vessels/havila-faith" TargetMode="External"/><Relationship Id="rId32" Type="http://schemas.openxmlformats.org/officeDocument/2006/relationships/hyperlink" Target="http://www.supplyvessel.net/offshore-vessels/normand-atlantic" TargetMode="External"/><Relationship Id="rId37" Type="http://schemas.openxmlformats.org/officeDocument/2006/relationships/hyperlink" Target="http://www.supplyvessel.net/offshore-vessels/viking-troll" TargetMode="External"/><Relationship Id="rId40" Type="http://schemas.openxmlformats.org/officeDocument/2006/relationships/hyperlink" Target="http://www.supplyvessel.net/offshore-vessels/aries-warrior" TargetMode="External"/><Relationship Id="rId45" Type="http://schemas.openxmlformats.org/officeDocument/2006/relationships/hyperlink" Target="http://www.supplyvessel.net/offshore-vessels/maersk-tackler" TargetMode="External"/><Relationship Id="rId53" Type="http://schemas.openxmlformats.org/officeDocument/2006/relationships/hyperlink" Target="http://www.supplyvessel.net/offshore-vessels/adams-nomad" TargetMode="External"/><Relationship Id="rId58" Type="http://schemas.openxmlformats.org/officeDocument/2006/relationships/comments" Target="../comments1.xml"/><Relationship Id="rId5" Type="http://schemas.openxmlformats.org/officeDocument/2006/relationships/hyperlink" Target="http://www.supplyvessel.net/offshore-vessels/far-superior" TargetMode="External"/><Relationship Id="rId15" Type="http://schemas.openxmlformats.org/officeDocument/2006/relationships/hyperlink" Target="http://www.supplyvessel.net/offshore-vessels/island-vanguard" TargetMode="External"/><Relationship Id="rId23" Type="http://schemas.openxmlformats.org/officeDocument/2006/relationships/hyperlink" Target="http://www.supplyvessel.net/offshore-vessels/tor-viking" TargetMode="External"/><Relationship Id="rId28" Type="http://schemas.openxmlformats.org/officeDocument/2006/relationships/hyperlink" Target="http://www.supplyvessel.net/offshore-vessels/normand-master" TargetMode="External"/><Relationship Id="rId36" Type="http://schemas.openxmlformats.org/officeDocument/2006/relationships/hyperlink" Target="http://www.supplyvessel.net/offshore-vessels/havila-neptun" TargetMode="External"/><Relationship Id="rId49" Type="http://schemas.openxmlformats.org/officeDocument/2006/relationships/hyperlink" Target="http://www.supplyvessel.net/offshore-vessels/ocean-viking" TargetMode="External"/><Relationship Id="rId57" Type="http://schemas.openxmlformats.org/officeDocument/2006/relationships/vmlDrawing" Target="../drawings/vmlDrawing1.vml"/><Relationship Id="rId10" Type="http://schemas.openxmlformats.org/officeDocument/2006/relationships/hyperlink" Target="http://www.supplyvessel.net/offshore-vessels/viking-dynamic" TargetMode="External"/><Relationship Id="rId19" Type="http://schemas.openxmlformats.org/officeDocument/2006/relationships/hyperlink" Target="http://www.supplyvessel.net/offshore-vessels/island-patriot" TargetMode="External"/><Relationship Id="rId31" Type="http://schemas.openxmlformats.org/officeDocument/2006/relationships/hyperlink" Target="http://www.supplyvessel.net/offshore-vessels/ocean-mainport" TargetMode="External"/><Relationship Id="rId44" Type="http://schemas.openxmlformats.org/officeDocument/2006/relationships/hyperlink" Target="http://www.supplyvessel.net/offshore-vessels/adams-aquanaut" TargetMode="External"/><Relationship Id="rId52" Type="http://schemas.openxmlformats.org/officeDocument/2006/relationships/hyperlink" Target="http://www.supplyvessel.net/offshore-vessels/aries-lord" TargetMode="External"/><Relationship Id="rId4" Type="http://schemas.openxmlformats.org/officeDocument/2006/relationships/hyperlink" Target="http://www.supplyvessel.net/offshore-vessels/island-valiant" TargetMode="External"/><Relationship Id="rId9" Type="http://schemas.openxmlformats.org/officeDocument/2006/relationships/hyperlink" Target="http://www.supplyvessel.net/offshore-vessels/maersk-attender" TargetMode="External"/><Relationship Id="rId14" Type="http://schemas.openxmlformats.org/officeDocument/2006/relationships/hyperlink" Target="http://www.supplyvessel.net/offshore-vessels/bourbon-borgstein" TargetMode="External"/><Relationship Id="rId22" Type="http://schemas.openxmlformats.org/officeDocument/2006/relationships/hyperlink" Target="http://www.supplyvessel.net/offshore-vessels/edda-frigg" TargetMode="External"/><Relationship Id="rId27" Type="http://schemas.openxmlformats.org/officeDocument/2006/relationships/hyperlink" Target="http://www.supplyvessel.net/offshore-vessels/northern-clipper" TargetMode="External"/><Relationship Id="rId30" Type="http://schemas.openxmlformats.org/officeDocument/2006/relationships/hyperlink" Target="http://www.supplyvessel.net/offshore-vessels/olympic-pegasus" TargetMode="External"/><Relationship Id="rId35" Type="http://schemas.openxmlformats.org/officeDocument/2006/relationships/hyperlink" Target="http://www.supplyvessel.net/offshore-vessels/havila-fortune" TargetMode="External"/><Relationship Id="rId43" Type="http://schemas.openxmlformats.org/officeDocument/2006/relationships/hyperlink" Target="http://www.supplyvessel.net/offshore-vessels/viking-thaumas" TargetMode="External"/><Relationship Id="rId48" Type="http://schemas.openxmlformats.org/officeDocument/2006/relationships/hyperlink" Target="http://www.supplyvessel.net/offshore-vessels/adams-surveyor" TargetMode="External"/><Relationship Id="rId56" Type="http://schemas.openxmlformats.org/officeDocument/2006/relationships/drawing" Target="../drawings/drawing6.xml"/><Relationship Id="rId8" Type="http://schemas.openxmlformats.org/officeDocument/2006/relationships/hyperlink" Target="http://www.supplyvessel.net/offshore-vessels/maersk-logger" TargetMode="External"/><Relationship Id="rId51" Type="http://schemas.openxmlformats.org/officeDocument/2006/relationships/hyperlink" Target="http://www.supplyvessel.net/offshore-vessels/boa-fortune" TargetMode="External"/><Relationship Id="rId3" Type="http://schemas.openxmlformats.org/officeDocument/2006/relationships/hyperlink" Target="http://www.supplyvessel.net/offshore-vessels/aries-swan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37EFB-F4F5-4EAE-A2FB-77C9E49095E3}">
  <sheetPr codeName="Sheet1"/>
  <dimension ref="A1:AX377"/>
  <sheetViews>
    <sheetView topLeftCell="A79" zoomScale="70" zoomScaleNormal="70" zoomScalePageLayoutView="70" workbookViewId="0">
      <selection activeCell="S105" sqref="S105"/>
    </sheetView>
  </sheetViews>
  <sheetFormatPr defaultColWidth="8.77734375" defaultRowHeight="14.4" x14ac:dyDescent="0.3"/>
  <cols>
    <col min="1" max="1" width="25.44140625" customWidth="1"/>
    <col min="2" max="26" width="14.5546875" customWidth="1"/>
    <col min="27" max="27" width="11.77734375" customWidth="1"/>
    <col min="28" max="28" width="9.21875" customWidth="1"/>
    <col min="29" max="29" width="12.21875" bestFit="1" customWidth="1"/>
    <col min="30" max="31" width="10" customWidth="1"/>
    <col min="32" max="32" width="12.21875" customWidth="1"/>
    <col min="33" max="33" width="25.44140625" customWidth="1"/>
    <col min="34" max="35" width="10.21875" customWidth="1"/>
    <col min="36" max="36" width="14.44140625" customWidth="1"/>
    <col min="37" max="37" width="20.77734375" customWidth="1"/>
    <col min="38" max="38" width="10.21875" customWidth="1"/>
    <col min="40" max="40" width="55.21875" customWidth="1"/>
    <col min="41" max="41" width="41.77734375" customWidth="1"/>
    <col min="42" max="44" width="10.21875" customWidth="1"/>
    <col min="45" max="46" width="9.21875" customWidth="1"/>
    <col min="47" max="47" width="9.77734375" customWidth="1"/>
  </cols>
  <sheetData>
    <row r="1" spans="1:2" x14ac:dyDescent="0.3">
      <c r="A1" s="248" t="s">
        <v>0</v>
      </c>
      <c r="B1" s="248"/>
    </row>
    <row r="2" spans="1:2" x14ac:dyDescent="0.3">
      <c r="A2" s="143" t="s">
        <v>1</v>
      </c>
      <c r="B2" s="144">
        <v>280</v>
      </c>
    </row>
    <row r="3" spans="1:2" x14ac:dyDescent="0.3">
      <c r="A3" s="143" t="s">
        <v>2</v>
      </c>
      <c r="B3" s="144">
        <v>37</v>
      </c>
    </row>
    <row r="4" spans="1:2" x14ac:dyDescent="0.3">
      <c r="A4" s="143" t="s">
        <v>3</v>
      </c>
      <c r="B4" s="144">
        <v>8</v>
      </c>
    </row>
    <row r="5" spans="1:2" x14ac:dyDescent="0.3">
      <c r="A5" s="143" t="s">
        <v>4</v>
      </c>
      <c r="B5" s="144">
        <v>16</v>
      </c>
    </row>
    <row r="6" spans="1:2" x14ac:dyDescent="0.3">
      <c r="A6" s="143" t="s">
        <v>5</v>
      </c>
      <c r="B6" s="144">
        <v>9000</v>
      </c>
    </row>
    <row r="7" spans="1:2" x14ac:dyDescent="0.3">
      <c r="A7" s="143" t="s">
        <v>6</v>
      </c>
      <c r="B7" s="144">
        <v>0.75</v>
      </c>
    </row>
    <row r="8" spans="1:2" x14ac:dyDescent="0.3">
      <c r="A8" s="143" t="s">
        <v>7</v>
      </c>
      <c r="B8" s="144">
        <v>18</v>
      </c>
    </row>
    <row r="9" spans="1:2" x14ac:dyDescent="0.3">
      <c r="A9" s="143" t="s">
        <v>8</v>
      </c>
      <c r="B9" s="144">
        <v>2000</v>
      </c>
    </row>
    <row r="10" spans="1:2" x14ac:dyDescent="0.3">
      <c r="A10" s="143" t="s">
        <v>9</v>
      </c>
      <c r="B10" s="49">
        <f>B2/B3</f>
        <v>7.5675675675675675</v>
      </c>
    </row>
    <row r="11" spans="1:2" x14ac:dyDescent="0.3">
      <c r="A11" s="143" t="s">
        <v>10</v>
      </c>
      <c r="B11" s="49">
        <f>B3/B4</f>
        <v>4.625</v>
      </c>
    </row>
    <row r="12" spans="1:2" x14ac:dyDescent="0.3">
      <c r="A12" s="143" t="s">
        <v>11</v>
      </c>
      <c r="B12" s="49">
        <f>B2/B5</f>
        <v>17.5</v>
      </c>
    </row>
    <row r="13" spans="1:2" x14ac:dyDescent="0.3">
      <c r="A13" s="143" t="s">
        <v>12</v>
      </c>
      <c r="B13" s="49">
        <f>B2/(B7*B2*B3*B4)^(1/3)</f>
        <v>7.0683985547737125</v>
      </c>
    </row>
    <row r="14" spans="1:2" x14ac:dyDescent="0.3">
      <c r="A14" s="143" t="s">
        <v>13</v>
      </c>
      <c r="B14" s="49">
        <f>CONVERT(B8,"kn","m/sec")/SQRT(9.81*B2)</f>
        <v>0.1766840994720856</v>
      </c>
    </row>
    <row r="15" spans="1:2" x14ac:dyDescent="0.3">
      <c r="A15" s="143" t="s">
        <v>14</v>
      </c>
      <c r="B15" s="49">
        <f>B2*B3*B4*B7*1.025/B6</f>
        <v>7.0793333333333326</v>
      </c>
    </row>
    <row r="16" spans="1:2" ht="15" thickBot="1" x14ac:dyDescent="0.35">
      <c r="A16" s="90"/>
    </row>
    <row r="17" spans="1:35" x14ac:dyDescent="0.3">
      <c r="A17" s="249" t="s">
        <v>15</v>
      </c>
      <c r="B17" s="250"/>
      <c r="C17" s="251"/>
    </row>
    <row r="18" spans="1:35" ht="15" thickBot="1" x14ac:dyDescent="0.35">
      <c r="A18" s="252"/>
      <c r="B18" s="253"/>
      <c r="C18" s="254"/>
    </row>
    <row r="22" spans="1:35" ht="15" thickBot="1" x14ac:dyDescent="0.35"/>
    <row r="23" spans="1:35" ht="15" customHeight="1" x14ac:dyDescent="0.3">
      <c r="A23" s="87"/>
      <c r="B23" s="86"/>
      <c r="C23" s="238" t="s">
        <v>16</v>
      </c>
      <c r="D23" s="239"/>
      <c r="E23" s="239"/>
      <c r="F23" s="240"/>
      <c r="G23" s="86"/>
      <c r="H23" s="85"/>
      <c r="J23" s="87"/>
      <c r="K23" s="86"/>
      <c r="L23" s="238" t="s">
        <v>17</v>
      </c>
      <c r="M23" s="239"/>
      <c r="N23" s="239"/>
      <c r="O23" s="240"/>
      <c r="P23" s="86"/>
      <c r="Q23" s="85"/>
      <c r="S23" s="87"/>
      <c r="T23" s="86"/>
      <c r="U23" s="232" t="s">
        <v>18</v>
      </c>
      <c r="V23" s="233"/>
      <c r="W23" s="233"/>
      <c r="X23" s="234"/>
      <c r="Y23" s="86"/>
      <c r="Z23" s="85"/>
      <c r="AB23" s="87"/>
      <c r="AC23" s="86"/>
      <c r="AD23" s="232" t="s">
        <v>19</v>
      </c>
      <c r="AE23" s="233"/>
      <c r="AF23" s="233"/>
      <c r="AG23" s="234"/>
      <c r="AH23" s="86"/>
      <c r="AI23" s="85"/>
    </row>
    <row r="24" spans="1:35" ht="15.75" customHeight="1" thickBot="1" x14ac:dyDescent="0.35">
      <c r="A24" s="84"/>
      <c r="B24" s="46"/>
      <c r="C24" s="241"/>
      <c r="D24" s="242"/>
      <c r="E24" s="242"/>
      <c r="F24" s="243"/>
      <c r="G24" s="46"/>
      <c r="H24" s="83"/>
      <c r="J24" s="84"/>
      <c r="K24" s="46"/>
      <c r="L24" s="241"/>
      <c r="M24" s="242"/>
      <c r="N24" s="242"/>
      <c r="O24" s="243"/>
      <c r="P24" s="46"/>
      <c r="Q24" s="83"/>
      <c r="S24" s="84"/>
      <c r="T24" s="46"/>
      <c r="U24" s="235"/>
      <c r="V24" s="236"/>
      <c r="W24" s="236"/>
      <c r="X24" s="237"/>
      <c r="Y24" s="46"/>
      <c r="Z24" s="83"/>
      <c r="AB24" s="84"/>
      <c r="AC24" s="46"/>
      <c r="AD24" s="235"/>
      <c r="AE24" s="236"/>
      <c r="AF24" s="236"/>
      <c r="AG24" s="237"/>
      <c r="AH24" s="46"/>
      <c r="AI24" s="83"/>
    </row>
    <row r="25" spans="1:35" x14ac:dyDescent="0.3">
      <c r="A25" s="84"/>
      <c r="B25" s="46"/>
      <c r="C25" s="46"/>
      <c r="D25" s="46"/>
      <c r="E25" s="46"/>
      <c r="F25" s="46"/>
      <c r="G25" s="46"/>
      <c r="H25" s="83"/>
      <c r="J25" s="84"/>
      <c r="K25" s="46"/>
      <c r="L25" s="46"/>
      <c r="M25" s="46"/>
      <c r="N25" s="46"/>
      <c r="O25" s="46"/>
      <c r="P25" s="46"/>
      <c r="Q25" s="83"/>
      <c r="S25" s="84"/>
      <c r="T25" s="46"/>
      <c r="U25" s="46"/>
      <c r="V25" s="46"/>
      <c r="W25" s="46"/>
      <c r="X25" s="46"/>
      <c r="Y25" s="46"/>
      <c r="Z25" s="83"/>
      <c r="AB25" s="84"/>
      <c r="AC25" s="46"/>
      <c r="AD25" s="46"/>
      <c r="AE25" s="46"/>
      <c r="AF25" s="46"/>
      <c r="AG25" s="46"/>
      <c r="AH25" s="46"/>
      <c r="AI25" s="83"/>
    </row>
    <row r="26" spans="1:35" x14ac:dyDescent="0.3">
      <c r="A26" s="84"/>
      <c r="B26" s="46"/>
      <c r="C26" s="46"/>
      <c r="D26" s="46"/>
      <c r="E26" s="46"/>
      <c r="F26" s="46"/>
      <c r="G26" s="46"/>
      <c r="H26" s="83"/>
      <c r="J26" s="84"/>
      <c r="K26" s="46"/>
      <c r="L26" s="46"/>
      <c r="M26" s="46"/>
      <c r="N26" s="46"/>
      <c r="O26" s="46"/>
      <c r="P26" s="46"/>
      <c r="Q26" s="83"/>
      <c r="S26" s="84"/>
      <c r="T26" s="46"/>
      <c r="U26" s="46"/>
      <c r="V26" s="46"/>
      <c r="W26" s="46"/>
      <c r="X26" s="46"/>
      <c r="Y26" s="46"/>
      <c r="Z26" s="83"/>
      <c r="AB26" s="84"/>
      <c r="AC26" s="46"/>
      <c r="AD26" s="46"/>
      <c r="AE26" s="46"/>
      <c r="AF26" s="46"/>
      <c r="AG26" s="46"/>
      <c r="AH26" s="46"/>
      <c r="AI26" s="83"/>
    </row>
    <row r="27" spans="1:35" x14ac:dyDescent="0.3">
      <c r="A27" s="84"/>
      <c r="B27" s="46"/>
      <c r="C27" s="46"/>
      <c r="D27" s="46"/>
      <c r="E27" s="46"/>
      <c r="F27" s="46"/>
      <c r="G27" s="46"/>
      <c r="H27" s="83"/>
      <c r="J27" s="84"/>
      <c r="K27" s="46"/>
      <c r="L27" s="46"/>
      <c r="M27" s="46"/>
      <c r="N27" s="46"/>
      <c r="O27" s="46"/>
      <c r="P27" s="46"/>
      <c r="Q27" s="83"/>
      <c r="S27" s="84"/>
      <c r="T27" s="46"/>
      <c r="U27" s="46"/>
      <c r="V27" s="46"/>
      <c r="W27" s="46"/>
      <c r="X27" s="46"/>
      <c r="Y27" s="46"/>
      <c r="Z27" s="83"/>
      <c r="AB27" s="84"/>
      <c r="AC27" s="46"/>
      <c r="AD27" s="46"/>
      <c r="AE27" s="46"/>
      <c r="AF27" s="46"/>
      <c r="AG27" s="46"/>
      <c r="AH27" s="46"/>
      <c r="AI27" s="83"/>
    </row>
    <row r="28" spans="1:35" x14ac:dyDescent="0.3">
      <c r="A28" s="84"/>
      <c r="B28" s="46"/>
      <c r="C28" s="46"/>
      <c r="D28" s="46"/>
      <c r="E28" s="46"/>
      <c r="F28" s="46"/>
      <c r="G28" s="46"/>
      <c r="H28" s="83"/>
      <c r="J28" s="84"/>
      <c r="K28" s="46"/>
      <c r="L28" s="46"/>
      <c r="M28" s="46"/>
      <c r="N28" s="46"/>
      <c r="O28" s="46"/>
      <c r="P28" s="46"/>
      <c r="Q28" s="83"/>
      <c r="S28" s="84"/>
      <c r="T28" s="46"/>
      <c r="U28" s="46"/>
      <c r="V28" s="46"/>
      <c r="W28" s="46"/>
      <c r="X28" s="46"/>
      <c r="Y28" s="46"/>
      <c r="Z28" s="83"/>
      <c r="AB28" s="84"/>
      <c r="AC28" s="46"/>
      <c r="AD28" s="46"/>
      <c r="AE28" s="46"/>
      <c r="AF28" s="46"/>
      <c r="AG28" s="46"/>
      <c r="AH28" s="46"/>
      <c r="AI28" s="83"/>
    </row>
    <row r="29" spans="1:35" x14ac:dyDescent="0.3">
      <c r="A29" s="84"/>
      <c r="B29" s="46"/>
      <c r="C29" s="46"/>
      <c r="D29" s="46"/>
      <c r="E29" s="46"/>
      <c r="F29" s="46"/>
      <c r="G29" s="46"/>
      <c r="H29" s="83"/>
      <c r="J29" s="84"/>
      <c r="K29" s="46"/>
      <c r="L29" s="46"/>
      <c r="M29" s="46"/>
      <c r="N29" s="46"/>
      <c r="O29" s="46"/>
      <c r="P29" s="46"/>
      <c r="Q29" s="83"/>
      <c r="S29" s="84"/>
      <c r="T29" s="46"/>
      <c r="U29" s="46"/>
      <c r="V29" s="46"/>
      <c r="W29" s="46"/>
      <c r="X29" s="46"/>
      <c r="Y29" s="46"/>
      <c r="Z29" s="83"/>
      <c r="AB29" s="84"/>
      <c r="AC29" s="46"/>
      <c r="AD29" s="46"/>
      <c r="AE29" s="46"/>
      <c r="AF29" s="46"/>
      <c r="AG29" s="46"/>
      <c r="AH29" s="46"/>
      <c r="AI29" s="83"/>
    </row>
    <row r="30" spans="1:35" x14ac:dyDescent="0.3">
      <c r="A30" s="84"/>
      <c r="B30" s="46"/>
      <c r="C30" s="46"/>
      <c r="D30" s="46"/>
      <c r="E30" s="46"/>
      <c r="F30" s="46"/>
      <c r="G30" s="46"/>
      <c r="H30" s="83"/>
      <c r="J30" s="84"/>
      <c r="K30" s="46"/>
      <c r="L30" s="46"/>
      <c r="M30" s="46"/>
      <c r="N30" s="46"/>
      <c r="O30" s="46"/>
      <c r="P30" s="46"/>
      <c r="Q30" s="83"/>
      <c r="S30" s="84"/>
      <c r="T30" s="46"/>
      <c r="U30" s="46"/>
      <c r="V30" s="46"/>
      <c r="W30" s="46"/>
      <c r="X30" s="46"/>
      <c r="Y30" s="46"/>
      <c r="Z30" s="83"/>
      <c r="AB30" s="84"/>
      <c r="AC30" s="46"/>
      <c r="AD30" s="46"/>
      <c r="AE30" s="46"/>
      <c r="AF30" s="46"/>
      <c r="AG30" s="46"/>
      <c r="AH30" s="46"/>
      <c r="AI30" s="83"/>
    </row>
    <row r="31" spans="1:35" x14ac:dyDescent="0.3">
      <c r="A31" s="84"/>
      <c r="B31" s="46"/>
      <c r="C31" s="46"/>
      <c r="D31" s="46"/>
      <c r="E31" s="46"/>
      <c r="F31" s="46"/>
      <c r="G31" s="46"/>
      <c r="H31" s="83"/>
      <c r="J31" s="84"/>
      <c r="K31" s="46"/>
      <c r="L31" s="46"/>
      <c r="M31" s="46"/>
      <c r="N31" s="46"/>
      <c r="O31" s="46"/>
      <c r="P31" s="46"/>
      <c r="Q31" s="83"/>
      <c r="S31" s="84"/>
      <c r="T31" s="46"/>
      <c r="U31" s="46"/>
      <c r="V31" s="46"/>
      <c r="W31" s="46"/>
      <c r="X31" s="46"/>
      <c r="Y31" s="46"/>
      <c r="Z31" s="83"/>
      <c r="AB31" s="84"/>
      <c r="AC31" s="46"/>
      <c r="AD31" s="46"/>
      <c r="AE31" s="46"/>
      <c r="AF31" s="46"/>
      <c r="AG31" s="46"/>
      <c r="AH31" s="46"/>
      <c r="AI31" s="83"/>
    </row>
    <row r="32" spans="1:35" x14ac:dyDescent="0.3">
      <c r="A32" s="84"/>
      <c r="B32" s="46"/>
      <c r="C32" s="46"/>
      <c r="D32" s="46"/>
      <c r="E32" s="46"/>
      <c r="F32" s="46"/>
      <c r="G32" s="46"/>
      <c r="H32" s="83"/>
      <c r="J32" s="84"/>
      <c r="K32" s="46"/>
      <c r="L32" s="46"/>
      <c r="M32" s="46"/>
      <c r="N32" s="46"/>
      <c r="O32" s="46"/>
      <c r="P32" s="46"/>
      <c r="Q32" s="83"/>
      <c r="S32" s="84"/>
      <c r="T32" s="46"/>
      <c r="U32" s="46"/>
      <c r="V32" s="46"/>
      <c r="W32" s="46"/>
      <c r="X32" s="46"/>
      <c r="Y32" s="46"/>
      <c r="Z32" s="83"/>
      <c r="AB32" s="84"/>
      <c r="AC32" s="46"/>
      <c r="AD32" s="46"/>
      <c r="AE32" s="46"/>
      <c r="AF32" s="46"/>
      <c r="AG32" s="46"/>
      <c r="AH32" s="46"/>
      <c r="AI32" s="83"/>
    </row>
    <row r="33" spans="1:35" x14ac:dyDescent="0.3">
      <c r="A33" s="84"/>
      <c r="B33" s="46"/>
      <c r="C33" s="46"/>
      <c r="D33" s="46"/>
      <c r="E33" s="46"/>
      <c r="F33" s="46"/>
      <c r="G33" s="46"/>
      <c r="H33" s="83"/>
      <c r="J33" s="84"/>
      <c r="K33" s="46"/>
      <c r="L33" s="46"/>
      <c r="M33" s="46"/>
      <c r="N33" s="46"/>
      <c r="O33" s="46"/>
      <c r="P33" s="46"/>
      <c r="Q33" s="83"/>
      <c r="S33" s="84"/>
      <c r="T33" s="46"/>
      <c r="U33" s="46"/>
      <c r="V33" s="46"/>
      <c r="W33" s="46"/>
      <c r="X33" s="46"/>
      <c r="Y33" s="46"/>
      <c r="Z33" s="83"/>
      <c r="AB33" s="84"/>
      <c r="AC33" s="46"/>
      <c r="AD33" s="46"/>
      <c r="AE33" s="46"/>
      <c r="AF33" s="46"/>
      <c r="AG33" s="46"/>
      <c r="AH33" s="46"/>
      <c r="AI33" s="83"/>
    </row>
    <row r="34" spans="1:35" x14ac:dyDescent="0.3">
      <c r="A34" s="84"/>
      <c r="B34" s="46"/>
      <c r="C34" s="46"/>
      <c r="D34" s="46"/>
      <c r="E34" s="46"/>
      <c r="F34" s="46"/>
      <c r="G34" s="46"/>
      <c r="H34" s="83"/>
      <c r="J34" s="84"/>
      <c r="K34" s="46"/>
      <c r="L34" s="46"/>
      <c r="M34" s="46"/>
      <c r="N34" s="46"/>
      <c r="O34" s="46"/>
      <c r="P34" s="46"/>
      <c r="Q34" s="83"/>
      <c r="S34" s="84"/>
      <c r="T34" s="46"/>
      <c r="U34" s="46"/>
      <c r="V34" s="46"/>
      <c r="W34" s="46"/>
      <c r="X34" s="46"/>
      <c r="Y34" s="46"/>
      <c r="Z34" s="83"/>
      <c r="AB34" s="84"/>
      <c r="AC34" s="46"/>
      <c r="AD34" s="46"/>
      <c r="AE34" s="46"/>
      <c r="AF34" s="46"/>
      <c r="AG34" s="46"/>
      <c r="AH34" s="46"/>
      <c r="AI34" s="83"/>
    </row>
    <row r="35" spans="1:35" x14ac:dyDescent="0.3">
      <c r="A35" s="84"/>
      <c r="B35" s="46"/>
      <c r="C35" s="46"/>
      <c r="D35" s="46"/>
      <c r="E35" s="46"/>
      <c r="F35" s="46"/>
      <c r="G35" s="46"/>
      <c r="H35" s="83"/>
      <c r="J35" s="84"/>
      <c r="K35" s="46"/>
      <c r="L35" s="46"/>
      <c r="M35" s="46"/>
      <c r="N35" s="46"/>
      <c r="O35" s="46"/>
      <c r="P35" s="46"/>
      <c r="Q35" s="83"/>
      <c r="S35" s="84"/>
      <c r="T35" s="46"/>
      <c r="U35" s="46"/>
      <c r="V35" s="46"/>
      <c r="W35" s="46"/>
      <c r="X35" s="46"/>
      <c r="Y35" s="46"/>
      <c r="Z35" s="83"/>
      <c r="AB35" s="84"/>
      <c r="AC35" s="46"/>
      <c r="AD35" s="46"/>
      <c r="AE35" s="46"/>
      <c r="AF35" s="46"/>
      <c r="AG35" s="46"/>
      <c r="AH35" s="46"/>
      <c r="AI35" s="83"/>
    </row>
    <row r="36" spans="1:35" x14ac:dyDescent="0.3">
      <c r="A36" s="84"/>
      <c r="B36" s="46"/>
      <c r="C36" s="46"/>
      <c r="D36" s="46"/>
      <c r="E36" s="46"/>
      <c r="F36" s="46"/>
      <c r="G36" s="46"/>
      <c r="H36" s="83"/>
      <c r="J36" s="84"/>
      <c r="K36" s="46"/>
      <c r="L36" s="46"/>
      <c r="M36" s="46"/>
      <c r="N36" s="46"/>
      <c r="O36" s="46"/>
      <c r="P36" s="46"/>
      <c r="Q36" s="83"/>
      <c r="S36" s="84"/>
      <c r="T36" s="46"/>
      <c r="U36" s="46"/>
      <c r="V36" s="46"/>
      <c r="W36" s="46"/>
      <c r="X36" s="46"/>
      <c r="Y36" s="46"/>
      <c r="Z36" s="83"/>
      <c r="AB36" s="84"/>
      <c r="AC36" s="46"/>
      <c r="AD36" s="46"/>
      <c r="AE36" s="46"/>
      <c r="AF36" s="46"/>
      <c r="AG36" s="46"/>
      <c r="AH36" s="46"/>
      <c r="AI36" s="83"/>
    </row>
    <row r="37" spans="1:35" x14ac:dyDescent="0.3">
      <c r="A37" s="84"/>
      <c r="B37" s="46"/>
      <c r="C37" s="46"/>
      <c r="D37" s="46"/>
      <c r="E37" s="46"/>
      <c r="F37" s="46"/>
      <c r="G37" s="46"/>
      <c r="H37" s="83"/>
      <c r="J37" s="84"/>
      <c r="K37" s="46"/>
      <c r="L37" s="46"/>
      <c r="M37" s="46"/>
      <c r="N37" s="46"/>
      <c r="O37" s="46"/>
      <c r="P37" s="46"/>
      <c r="Q37" s="83"/>
      <c r="S37" s="84"/>
      <c r="T37" s="46"/>
      <c r="U37" s="46"/>
      <c r="V37" s="46"/>
      <c r="W37" s="46"/>
      <c r="X37" s="46"/>
      <c r="Y37" s="46"/>
      <c r="Z37" s="83"/>
      <c r="AB37" s="84"/>
      <c r="AC37" s="46"/>
      <c r="AD37" s="46"/>
      <c r="AE37" s="46"/>
      <c r="AF37" s="46"/>
      <c r="AG37" s="46"/>
      <c r="AH37" s="46"/>
      <c r="AI37" s="83"/>
    </row>
    <row r="38" spans="1:35" x14ac:dyDescent="0.3">
      <c r="A38" s="84"/>
      <c r="B38" s="46"/>
      <c r="C38" s="46"/>
      <c r="D38" s="46"/>
      <c r="E38" s="46"/>
      <c r="F38" s="46"/>
      <c r="G38" s="46"/>
      <c r="H38" s="83"/>
      <c r="J38" s="84"/>
      <c r="K38" s="46"/>
      <c r="L38" s="46"/>
      <c r="M38" s="46"/>
      <c r="N38" s="46"/>
      <c r="O38" s="46"/>
      <c r="P38" s="46"/>
      <c r="Q38" s="83"/>
      <c r="S38" s="84"/>
      <c r="T38" s="46"/>
      <c r="U38" s="46"/>
      <c r="V38" s="46"/>
      <c r="W38" s="46"/>
      <c r="X38" s="46"/>
      <c r="Y38" s="46"/>
      <c r="Z38" s="83"/>
      <c r="AB38" s="84"/>
      <c r="AC38" s="46"/>
      <c r="AD38" s="46"/>
      <c r="AE38" s="46"/>
      <c r="AF38" s="46"/>
      <c r="AG38" s="46"/>
      <c r="AH38" s="46"/>
      <c r="AI38" s="83"/>
    </row>
    <row r="39" spans="1:35" x14ac:dyDescent="0.3">
      <c r="A39" s="84"/>
      <c r="B39" s="46"/>
      <c r="C39" s="46"/>
      <c r="D39" s="46"/>
      <c r="E39" s="46"/>
      <c r="F39" s="46"/>
      <c r="G39" s="46"/>
      <c r="H39" s="83"/>
      <c r="J39" s="84"/>
      <c r="K39" s="46"/>
      <c r="L39" s="46"/>
      <c r="M39" s="46"/>
      <c r="N39" s="46"/>
      <c r="O39" s="46"/>
      <c r="P39" s="46"/>
      <c r="Q39" s="83"/>
      <c r="S39" s="84"/>
      <c r="T39" s="46"/>
      <c r="U39" s="46"/>
      <c r="V39" s="46"/>
      <c r="W39" s="46"/>
      <c r="X39" s="46"/>
      <c r="Y39" s="46"/>
      <c r="Z39" s="83"/>
      <c r="AB39" s="84"/>
      <c r="AC39" s="46"/>
      <c r="AD39" s="46"/>
      <c r="AE39" s="46"/>
      <c r="AF39" s="46"/>
      <c r="AG39" s="46"/>
      <c r="AH39" s="46"/>
      <c r="AI39" s="83"/>
    </row>
    <row r="40" spans="1:35" ht="15" thickBot="1" x14ac:dyDescent="0.35">
      <c r="A40" s="82"/>
      <c r="B40" s="81"/>
      <c r="C40" s="81"/>
      <c r="D40" s="81"/>
      <c r="E40" s="81"/>
      <c r="F40" s="81"/>
      <c r="G40" s="81"/>
      <c r="H40" s="80"/>
      <c r="J40" s="82"/>
      <c r="K40" s="81"/>
      <c r="L40" s="81"/>
      <c r="M40" s="81"/>
      <c r="N40" s="81"/>
      <c r="O40" s="81"/>
      <c r="P40" s="81"/>
      <c r="Q40" s="80"/>
      <c r="S40" s="82"/>
      <c r="T40" s="81"/>
      <c r="U40" s="81"/>
      <c r="V40" s="81"/>
      <c r="W40" s="81"/>
      <c r="X40" s="81"/>
      <c r="Y40" s="81"/>
      <c r="Z40" s="80"/>
      <c r="AB40" s="82"/>
      <c r="AC40" s="81"/>
      <c r="AD40" s="81"/>
      <c r="AE40" s="81"/>
      <c r="AF40" s="81"/>
      <c r="AG40" s="81"/>
      <c r="AH40" s="81"/>
      <c r="AI40" s="80"/>
    </row>
    <row r="42" spans="1:35" ht="15" thickBot="1" x14ac:dyDescent="0.35"/>
    <row r="43" spans="1:35" ht="15" customHeight="1" x14ac:dyDescent="0.3">
      <c r="A43" s="87"/>
      <c r="B43" s="86"/>
      <c r="C43" s="256" t="s">
        <v>20</v>
      </c>
      <c r="D43" s="257"/>
      <c r="E43" s="86"/>
      <c r="F43" s="86"/>
      <c r="G43" s="86"/>
      <c r="H43" s="85"/>
      <c r="J43" s="87"/>
      <c r="K43" s="86"/>
      <c r="L43" s="86"/>
      <c r="M43" s="244" t="s">
        <v>21</v>
      </c>
      <c r="N43" s="245"/>
      <c r="O43" s="86"/>
      <c r="P43" s="86"/>
      <c r="Q43" s="85"/>
      <c r="S43" s="87"/>
      <c r="T43" s="86"/>
      <c r="U43" s="86"/>
      <c r="V43" s="238" t="s">
        <v>22</v>
      </c>
      <c r="W43" s="240"/>
      <c r="X43" s="86"/>
      <c r="Y43" s="86"/>
      <c r="Z43" s="85"/>
    </row>
    <row r="44" spans="1:35" ht="15.75" customHeight="1" thickBot="1" x14ac:dyDescent="0.35">
      <c r="A44" s="84"/>
      <c r="B44" s="46"/>
      <c r="C44" s="258"/>
      <c r="D44" s="259"/>
      <c r="E44" s="46"/>
      <c r="F44" s="46"/>
      <c r="G44" s="46"/>
      <c r="H44" s="83"/>
      <c r="J44" s="84"/>
      <c r="K44" s="46"/>
      <c r="L44" s="46"/>
      <c r="M44" s="246"/>
      <c r="N44" s="247"/>
      <c r="O44" s="46"/>
      <c r="P44" s="46"/>
      <c r="Q44" s="83"/>
      <c r="S44" s="84"/>
      <c r="T44" s="46"/>
      <c r="U44" s="46"/>
      <c r="V44" s="241"/>
      <c r="W44" s="243"/>
      <c r="X44" s="46"/>
      <c r="Y44" s="46"/>
      <c r="Z44" s="83"/>
    </row>
    <row r="45" spans="1:35" ht="15.75" customHeight="1" x14ac:dyDescent="0.3">
      <c r="A45" s="84"/>
      <c r="B45" s="46"/>
      <c r="C45" s="46"/>
      <c r="D45" s="46"/>
      <c r="E45" s="46"/>
      <c r="F45" s="46"/>
      <c r="G45" s="46"/>
      <c r="H45" s="83"/>
      <c r="J45" s="84"/>
      <c r="K45" s="46"/>
      <c r="L45" s="46"/>
      <c r="M45" s="46"/>
      <c r="N45" s="46"/>
      <c r="O45" s="46"/>
      <c r="P45" s="46"/>
      <c r="Q45" s="83"/>
      <c r="S45" s="84"/>
      <c r="T45" s="46"/>
      <c r="U45" s="46"/>
      <c r="V45" s="46"/>
      <c r="W45" s="46"/>
      <c r="X45" s="46"/>
      <c r="Y45" s="46"/>
      <c r="Z45" s="83"/>
    </row>
    <row r="46" spans="1:35" x14ac:dyDescent="0.3">
      <c r="A46" s="84"/>
      <c r="B46" s="46"/>
      <c r="C46" s="46"/>
      <c r="D46" s="46"/>
      <c r="E46" s="46"/>
      <c r="F46" s="46"/>
      <c r="G46" s="46"/>
      <c r="H46" s="83"/>
      <c r="J46" s="84"/>
      <c r="K46" s="46"/>
      <c r="L46" s="46"/>
      <c r="M46" s="46"/>
      <c r="N46" s="46"/>
      <c r="O46" s="46"/>
      <c r="P46" s="46"/>
      <c r="Q46" s="83"/>
      <c r="S46" s="84"/>
      <c r="T46" s="46"/>
      <c r="U46" s="46"/>
      <c r="V46" s="46"/>
      <c r="W46" s="46"/>
      <c r="X46" s="46"/>
      <c r="Y46" s="46"/>
      <c r="Z46" s="83"/>
    </row>
    <row r="47" spans="1:35" x14ac:dyDescent="0.3">
      <c r="A47" s="84"/>
      <c r="B47" s="46"/>
      <c r="C47" s="46"/>
      <c r="D47" s="46"/>
      <c r="E47" s="46"/>
      <c r="F47" s="46"/>
      <c r="G47" s="46"/>
      <c r="H47" s="83"/>
      <c r="J47" s="84"/>
      <c r="K47" s="46"/>
      <c r="L47" s="46"/>
      <c r="M47" s="46"/>
      <c r="N47" s="46"/>
      <c r="O47" s="46"/>
      <c r="P47" s="46"/>
      <c r="Q47" s="83"/>
      <c r="S47" s="84"/>
      <c r="T47" s="46"/>
      <c r="U47" s="46"/>
      <c r="V47" s="46"/>
      <c r="W47" s="46"/>
      <c r="X47" s="46"/>
      <c r="Y47" s="46"/>
      <c r="Z47" s="83"/>
    </row>
    <row r="48" spans="1:35" x14ac:dyDescent="0.3">
      <c r="A48" s="84"/>
      <c r="B48" s="46"/>
      <c r="C48" s="46"/>
      <c r="D48" s="46"/>
      <c r="E48" s="46"/>
      <c r="F48" s="46"/>
      <c r="G48" s="46"/>
      <c r="H48" s="83"/>
      <c r="J48" s="84"/>
      <c r="K48" s="46"/>
      <c r="L48" s="46"/>
      <c r="M48" s="46"/>
      <c r="N48" s="46"/>
      <c r="O48" s="46"/>
      <c r="P48" s="46"/>
      <c r="Q48" s="83"/>
      <c r="S48" s="84"/>
      <c r="T48" s="46"/>
      <c r="U48" s="46"/>
      <c r="V48" s="46"/>
      <c r="W48" s="46"/>
      <c r="X48" s="46"/>
      <c r="Y48" s="46"/>
      <c r="Z48" s="83"/>
    </row>
    <row r="49" spans="1:26" x14ac:dyDescent="0.3">
      <c r="A49" s="84"/>
      <c r="B49" s="46"/>
      <c r="C49" s="46"/>
      <c r="D49" s="46"/>
      <c r="E49" s="46"/>
      <c r="F49" s="46"/>
      <c r="G49" s="46"/>
      <c r="H49" s="83"/>
      <c r="J49" s="84"/>
      <c r="K49" s="46"/>
      <c r="L49" s="46"/>
      <c r="M49" s="46"/>
      <c r="N49" s="46"/>
      <c r="O49" s="46"/>
      <c r="P49" s="46"/>
      <c r="Q49" s="83"/>
      <c r="S49" s="84"/>
      <c r="T49" s="46"/>
      <c r="U49" s="46"/>
      <c r="V49" s="46"/>
      <c r="W49" s="46"/>
      <c r="X49" s="46"/>
      <c r="Y49" s="46"/>
      <c r="Z49" s="83"/>
    </row>
    <row r="50" spans="1:26" x14ac:dyDescent="0.3">
      <c r="A50" s="84"/>
      <c r="B50" s="46"/>
      <c r="C50" s="46"/>
      <c r="D50" s="46"/>
      <c r="E50" s="46"/>
      <c r="F50" s="46"/>
      <c r="G50" s="46"/>
      <c r="H50" s="83"/>
      <c r="J50" s="84"/>
      <c r="K50" s="46"/>
      <c r="L50" s="46"/>
      <c r="M50" s="46"/>
      <c r="N50" s="46"/>
      <c r="O50" s="46"/>
      <c r="P50" s="46"/>
      <c r="Q50" s="83"/>
      <c r="S50" s="84"/>
      <c r="T50" s="46"/>
      <c r="U50" s="46"/>
      <c r="V50" s="46"/>
      <c r="W50" s="46"/>
      <c r="X50" s="46"/>
      <c r="Y50" s="46"/>
      <c r="Z50" s="83"/>
    </row>
    <row r="51" spans="1:26" x14ac:dyDescent="0.3">
      <c r="A51" s="84"/>
      <c r="B51" s="46"/>
      <c r="C51" s="46"/>
      <c r="D51" s="46"/>
      <c r="E51" s="46"/>
      <c r="F51" s="46"/>
      <c r="G51" s="46"/>
      <c r="H51" s="83"/>
      <c r="J51" s="84"/>
      <c r="K51" s="46"/>
      <c r="L51" s="46"/>
      <c r="M51" s="46"/>
      <c r="N51" s="46"/>
      <c r="O51" s="46"/>
      <c r="P51" s="46"/>
      <c r="Q51" s="83"/>
      <c r="S51" s="84"/>
      <c r="T51" s="46"/>
      <c r="U51" s="46"/>
      <c r="V51" s="46"/>
      <c r="W51" s="46"/>
      <c r="X51" s="46"/>
      <c r="Y51" s="46"/>
      <c r="Z51" s="83"/>
    </row>
    <row r="52" spans="1:26" x14ac:dyDescent="0.3">
      <c r="A52" s="84"/>
      <c r="B52" s="46"/>
      <c r="C52" s="46"/>
      <c r="D52" s="46"/>
      <c r="E52" s="46"/>
      <c r="F52" s="46"/>
      <c r="G52" s="46"/>
      <c r="H52" s="83"/>
      <c r="J52" s="84"/>
      <c r="K52" s="46"/>
      <c r="L52" s="46"/>
      <c r="M52" s="46"/>
      <c r="N52" s="46"/>
      <c r="O52" s="46"/>
      <c r="P52" s="46"/>
      <c r="Q52" s="83"/>
      <c r="S52" s="84"/>
      <c r="T52" s="46"/>
      <c r="U52" s="46"/>
      <c r="V52" s="46"/>
      <c r="W52" s="46"/>
      <c r="X52" s="46"/>
      <c r="Y52" s="46"/>
      <c r="Z52" s="83"/>
    </row>
    <row r="53" spans="1:26" x14ac:dyDescent="0.3">
      <c r="A53" s="84"/>
      <c r="B53" s="46"/>
      <c r="C53" s="46"/>
      <c r="D53" s="46"/>
      <c r="E53" s="46"/>
      <c r="F53" s="46"/>
      <c r="G53" s="46"/>
      <c r="H53" s="83"/>
      <c r="J53" s="84"/>
      <c r="K53" s="46"/>
      <c r="L53" s="46"/>
      <c r="M53" s="46"/>
      <c r="N53" s="46"/>
      <c r="O53" s="46"/>
      <c r="P53" s="46"/>
      <c r="Q53" s="83"/>
      <c r="S53" s="84"/>
      <c r="T53" s="46"/>
      <c r="U53" s="46"/>
      <c r="V53" s="46"/>
      <c r="W53" s="46"/>
      <c r="X53" s="46"/>
      <c r="Y53" s="46"/>
      <c r="Z53" s="83"/>
    </row>
    <row r="54" spans="1:26" x14ac:dyDescent="0.3">
      <c r="A54" s="84"/>
      <c r="B54" s="46"/>
      <c r="C54" s="46"/>
      <c r="D54" s="46"/>
      <c r="E54" s="46"/>
      <c r="F54" s="46"/>
      <c r="G54" s="46"/>
      <c r="H54" s="83"/>
      <c r="J54" s="84"/>
      <c r="K54" s="46"/>
      <c r="L54" s="46"/>
      <c r="M54" s="46"/>
      <c r="N54" s="46"/>
      <c r="O54" s="46"/>
      <c r="P54" s="46"/>
      <c r="Q54" s="83"/>
      <c r="S54" s="84"/>
      <c r="T54" s="46"/>
      <c r="U54" s="46"/>
      <c r="V54" s="46"/>
      <c r="W54" s="46"/>
      <c r="X54" s="46"/>
      <c r="Y54" s="46"/>
      <c r="Z54" s="83"/>
    </row>
    <row r="55" spans="1:26" x14ac:dyDescent="0.3">
      <c r="A55" s="84"/>
      <c r="B55" s="46"/>
      <c r="C55" s="46"/>
      <c r="D55" s="46"/>
      <c r="E55" s="46"/>
      <c r="F55" s="46"/>
      <c r="G55" s="46"/>
      <c r="H55" s="83"/>
      <c r="J55" s="84"/>
      <c r="K55" s="46"/>
      <c r="L55" s="46"/>
      <c r="M55" s="46"/>
      <c r="N55" s="46"/>
      <c r="O55" s="46"/>
      <c r="P55" s="46"/>
      <c r="Q55" s="83"/>
      <c r="S55" s="84"/>
      <c r="T55" s="46"/>
      <c r="U55" s="46"/>
      <c r="V55" s="46"/>
      <c r="W55" s="46"/>
      <c r="X55" s="46"/>
      <c r="Y55" s="46"/>
      <c r="Z55" s="83"/>
    </row>
    <row r="56" spans="1:26" x14ac:dyDescent="0.3">
      <c r="A56" s="84"/>
      <c r="B56" s="46"/>
      <c r="C56" s="46"/>
      <c r="D56" s="46"/>
      <c r="E56" s="46"/>
      <c r="F56" s="46"/>
      <c r="G56" s="46"/>
      <c r="H56" s="83"/>
      <c r="J56" s="84"/>
      <c r="K56" s="46"/>
      <c r="L56" s="46"/>
      <c r="M56" s="46"/>
      <c r="N56" s="46"/>
      <c r="O56" s="46"/>
      <c r="P56" s="46"/>
      <c r="Q56" s="83"/>
      <c r="S56" s="84"/>
      <c r="T56" s="46"/>
      <c r="U56" s="46"/>
      <c r="V56" s="46"/>
      <c r="W56" s="46"/>
      <c r="X56" s="46"/>
      <c r="Y56" s="46"/>
      <c r="Z56" s="83"/>
    </row>
    <row r="57" spans="1:26" x14ac:dyDescent="0.3">
      <c r="A57" s="84"/>
      <c r="B57" s="46"/>
      <c r="C57" s="46"/>
      <c r="D57" s="46"/>
      <c r="E57" s="46"/>
      <c r="F57" s="46"/>
      <c r="G57" s="46"/>
      <c r="H57" s="83"/>
      <c r="J57" s="84"/>
      <c r="K57" s="46"/>
      <c r="L57" s="46"/>
      <c r="M57" s="46"/>
      <c r="N57" s="46"/>
      <c r="O57" s="46"/>
      <c r="P57" s="46"/>
      <c r="Q57" s="83"/>
      <c r="S57" s="84"/>
      <c r="T57" s="46"/>
      <c r="U57" s="46"/>
      <c r="V57" s="46"/>
      <c r="W57" s="46"/>
      <c r="X57" s="46"/>
      <c r="Y57" s="46"/>
      <c r="Z57" s="83"/>
    </row>
    <row r="58" spans="1:26" x14ac:dyDescent="0.3">
      <c r="A58" s="84"/>
      <c r="B58" s="46"/>
      <c r="C58" s="46"/>
      <c r="D58" s="46"/>
      <c r="E58" s="46"/>
      <c r="F58" s="46"/>
      <c r="G58" s="46"/>
      <c r="H58" s="83"/>
      <c r="J58" s="84"/>
      <c r="K58" s="46"/>
      <c r="L58" s="46"/>
      <c r="M58" s="46"/>
      <c r="N58" s="46"/>
      <c r="O58" s="46"/>
      <c r="P58" s="46"/>
      <c r="Q58" s="83"/>
      <c r="S58" s="84"/>
      <c r="T58" s="46"/>
      <c r="U58" s="46"/>
      <c r="V58" s="46"/>
      <c r="W58" s="46"/>
      <c r="X58" s="46"/>
      <c r="Y58" s="46"/>
      <c r="Z58" s="83"/>
    </row>
    <row r="59" spans="1:26" x14ac:dyDescent="0.3">
      <c r="A59" s="84"/>
      <c r="B59" s="46"/>
      <c r="C59" s="46"/>
      <c r="D59" s="46"/>
      <c r="E59" s="46"/>
      <c r="F59" s="46"/>
      <c r="G59" s="46"/>
      <c r="H59" s="83"/>
      <c r="J59" s="84"/>
      <c r="K59" s="46"/>
      <c r="L59" s="46"/>
      <c r="M59" s="46"/>
      <c r="N59" s="46"/>
      <c r="O59" s="46"/>
      <c r="P59" s="46"/>
      <c r="Q59" s="83"/>
      <c r="S59" s="84"/>
      <c r="T59" s="46"/>
      <c r="U59" s="46"/>
      <c r="V59" s="46"/>
      <c r="W59" s="46"/>
      <c r="X59" s="46"/>
      <c r="Y59" s="46"/>
      <c r="Z59" s="83"/>
    </row>
    <row r="60" spans="1:26" ht="15" thickBot="1" x14ac:dyDescent="0.35">
      <c r="A60" s="82"/>
      <c r="B60" s="81"/>
      <c r="C60" s="81"/>
      <c r="D60" s="81"/>
      <c r="E60" s="81"/>
      <c r="F60" s="81"/>
      <c r="G60" s="81"/>
      <c r="H60" s="80"/>
      <c r="J60" s="82"/>
      <c r="K60" s="81"/>
      <c r="L60" s="81"/>
      <c r="M60" s="81"/>
      <c r="N60" s="81"/>
      <c r="O60" s="81"/>
      <c r="P60" s="81"/>
      <c r="Q60" s="80"/>
      <c r="S60" s="82"/>
      <c r="T60" s="81"/>
      <c r="U60" s="81"/>
      <c r="V60" s="81"/>
      <c r="W60" s="81"/>
      <c r="X60" s="81"/>
      <c r="Y60" s="81"/>
      <c r="Z60" s="80"/>
    </row>
    <row r="62" spans="1:26" ht="15" thickBot="1" x14ac:dyDescent="0.35"/>
    <row r="63" spans="1:26" ht="15" customHeight="1" x14ac:dyDescent="0.3">
      <c r="A63" s="87"/>
      <c r="B63" s="86"/>
      <c r="C63" s="86"/>
      <c r="D63" s="232" t="s">
        <v>23</v>
      </c>
      <c r="E63" s="234"/>
      <c r="F63" s="86"/>
      <c r="G63" s="86"/>
      <c r="H63" s="85"/>
      <c r="J63" s="87"/>
      <c r="K63" s="86"/>
      <c r="L63" s="86"/>
      <c r="M63" s="232" t="s">
        <v>24</v>
      </c>
      <c r="N63" s="234"/>
      <c r="O63" s="86"/>
      <c r="P63" s="86"/>
      <c r="Q63" s="85"/>
      <c r="S63" s="87"/>
      <c r="T63" s="86"/>
      <c r="U63" s="232" t="s">
        <v>25</v>
      </c>
      <c r="V63" s="233"/>
      <c r="W63" s="233"/>
      <c r="X63" s="234"/>
      <c r="Y63" s="86"/>
      <c r="Z63" s="85"/>
    </row>
    <row r="64" spans="1:26" ht="15.75" customHeight="1" thickBot="1" x14ac:dyDescent="0.35">
      <c r="A64" s="84"/>
      <c r="B64" s="46"/>
      <c r="C64" s="46"/>
      <c r="D64" s="235"/>
      <c r="E64" s="237"/>
      <c r="F64" s="46"/>
      <c r="G64" s="46"/>
      <c r="H64" s="83"/>
      <c r="J64" s="84"/>
      <c r="K64" s="46"/>
      <c r="L64" s="46"/>
      <c r="M64" s="235"/>
      <c r="N64" s="237"/>
      <c r="O64" s="46"/>
      <c r="P64" s="46"/>
      <c r="Q64" s="83"/>
      <c r="S64" s="84"/>
      <c r="T64" s="46"/>
      <c r="U64" s="235"/>
      <c r="V64" s="236"/>
      <c r="W64" s="236"/>
      <c r="X64" s="237"/>
      <c r="Y64" s="46"/>
      <c r="Z64" s="83"/>
    </row>
    <row r="65" spans="1:26" x14ac:dyDescent="0.3">
      <c r="A65" s="84"/>
      <c r="B65" s="46"/>
      <c r="C65" s="46"/>
      <c r="D65" s="46"/>
      <c r="E65" s="46"/>
      <c r="F65" s="46"/>
      <c r="G65" s="46"/>
      <c r="H65" s="83"/>
      <c r="J65" s="84"/>
      <c r="K65" s="46"/>
      <c r="L65" s="46"/>
      <c r="M65" s="46"/>
      <c r="N65" s="46"/>
      <c r="O65" s="46"/>
      <c r="P65" s="46"/>
      <c r="Q65" s="83"/>
      <c r="S65" s="84"/>
      <c r="T65" s="46"/>
      <c r="U65" s="46"/>
      <c r="V65" s="46"/>
      <c r="W65" s="46"/>
      <c r="X65" s="46"/>
      <c r="Y65" s="46"/>
      <c r="Z65" s="83"/>
    </row>
    <row r="66" spans="1:26" x14ac:dyDescent="0.3">
      <c r="A66" s="84"/>
      <c r="B66" s="46"/>
      <c r="C66" s="46"/>
      <c r="D66" s="46"/>
      <c r="E66" s="46"/>
      <c r="F66" s="46"/>
      <c r="G66" s="46"/>
      <c r="H66" s="83"/>
      <c r="J66" s="84"/>
      <c r="K66" s="46"/>
      <c r="L66" s="46"/>
      <c r="M66" s="46"/>
      <c r="N66" s="46"/>
      <c r="O66" s="46"/>
      <c r="P66" s="46"/>
      <c r="Q66" s="83"/>
      <c r="S66" s="84"/>
      <c r="T66" s="46"/>
      <c r="U66" s="46"/>
      <c r="V66" s="46"/>
      <c r="W66" s="46"/>
      <c r="X66" s="46"/>
      <c r="Y66" s="46"/>
      <c r="Z66" s="83"/>
    </row>
    <row r="67" spans="1:26" x14ac:dyDescent="0.3">
      <c r="A67" s="84"/>
      <c r="B67" s="46"/>
      <c r="C67" s="46"/>
      <c r="D67" s="46"/>
      <c r="E67" s="46"/>
      <c r="F67" s="46"/>
      <c r="G67" s="46"/>
      <c r="H67" s="83"/>
      <c r="J67" s="84"/>
      <c r="K67" s="46"/>
      <c r="L67" s="46"/>
      <c r="M67" s="46"/>
      <c r="N67" s="46"/>
      <c r="O67" s="46"/>
      <c r="P67" s="46"/>
      <c r="Q67" s="83"/>
      <c r="S67" s="84"/>
      <c r="T67" s="46"/>
      <c r="U67" s="46"/>
      <c r="V67" s="46"/>
      <c r="W67" s="46"/>
      <c r="X67" s="46"/>
      <c r="Y67" s="46"/>
      <c r="Z67" s="83"/>
    </row>
    <row r="68" spans="1:26" x14ac:dyDescent="0.3">
      <c r="A68" s="84"/>
      <c r="B68" s="46"/>
      <c r="C68" s="46"/>
      <c r="D68" s="46"/>
      <c r="E68" s="46"/>
      <c r="F68" s="46"/>
      <c r="G68" s="46"/>
      <c r="H68" s="83"/>
      <c r="J68" s="84"/>
      <c r="K68" s="46"/>
      <c r="L68" s="46"/>
      <c r="M68" s="46"/>
      <c r="N68" s="46"/>
      <c r="O68" s="46"/>
      <c r="P68" s="46"/>
      <c r="Q68" s="83"/>
      <c r="S68" s="84"/>
      <c r="T68" s="46"/>
      <c r="U68" s="46"/>
      <c r="V68" s="46"/>
      <c r="W68" s="46"/>
      <c r="X68" s="46"/>
      <c r="Y68" s="46"/>
      <c r="Z68" s="83"/>
    </row>
    <row r="69" spans="1:26" x14ac:dyDescent="0.3">
      <c r="A69" s="84"/>
      <c r="B69" s="46"/>
      <c r="C69" s="46"/>
      <c r="D69" s="46"/>
      <c r="E69" s="46"/>
      <c r="F69" s="46"/>
      <c r="G69" s="46"/>
      <c r="H69" s="83"/>
      <c r="J69" s="84"/>
      <c r="K69" s="46"/>
      <c r="L69" s="46"/>
      <c r="M69" s="46"/>
      <c r="N69" s="46"/>
      <c r="O69" s="46"/>
      <c r="P69" s="46"/>
      <c r="Q69" s="83"/>
      <c r="S69" s="84"/>
      <c r="T69" s="46"/>
      <c r="U69" s="46"/>
      <c r="V69" s="46"/>
      <c r="W69" s="46"/>
      <c r="X69" s="46"/>
      <c r="Y69" s="46"/>
      <c r="Z69" s="83"/>
    </row>
    <row r="70" spans="1:26" x14ac:dyDescent="0.3">
      <c r="A70" s="84"/>
      <c r="B70" s="46"/>
      <c r="C70" s="46"/>
      <c r="D70" s="46"/>
      <c r="E70" s="46"/>
      <c r="F70" s="46"/>
      <c r="G70" s="46"/>
      <c r="H70" s="83"/>
      <c r="J70" s="84"/>
      <c r="K70" s="46"/>
      <c r="L70" s="46"/>
      <c r="M70" s="46"/>
      <c r="N70" s="46"/>
      <c r="O70" s="46"/>
      <c r="P70" s="46"/>
      <c r="Q70" s="83"/>
      <c r="S70" s="84"/>
      <c r="T70" s="46"/>
      <c r="U70" s="46"/>
      <c r="V70" s="46"/>
      <c r="W70" s="46"/>
      <c r="X70" s="46"/>
      <c r="Y70" s="46"/>
      <c r="Z70" s="83"/>
    </row>
    <row r="71" spans="1:26" x14ac:dyDescent="0.3">
      <c r="A71" s="84"/>
      <c r="B71" s="46"/>
      <c r="C71" s="46"/>
      <c r="D71" s="46"/>
      <c r="E71" s="46"/>
      <c r="F71" s="46"/>
      <c r="G71" s="46"/>
      <c r="H71" s="83"/>
      <c r="J71" s="84"/>
      <c r="K71" s="46"/>
      <c r="L71" s="46"/>
      <c r="M71" s="46"/>
      <c r="N71" s="46"/>
      <c r="O71" s="46"/>
      <c r="P71" s="46"/>
      <c r="Q71" s="83"/>
      <c r="S71" s="84"/>
      <c r="T71" s="46"/>
      <c r="U71" s="46"/>
      <c r="V71" s="46"/>
      <c r="W71" s="46"/>
      <c r="X71" s="46"/>
      <c r="Y71" s="46"/>
      <c r="Z71" s="83"/>
    </row>
    <row r="72" spans="1:26" x14ac:dyDescent="0.3">
      <c r="A72" s="84"/>
      <c r="B72" s="46"/>
      <c r="C72" s="46"/>
      <c r="D72" s="46"/>
      <c r="E72" s="46"/>
      <c r="F72" s="46"/>
      <c r="G72" s="46"/>
      <c r="H72" s="83"/>
      <c r="J72" s="84"/>
      <c r="K72" s="46"/>
      <c r="L72" s="46"/>
      <c r="M72" s="46"/>
      <c r="N72" s="46"/>
      <c r="O72" s="46"/>
      <c r="P72" s="46"/>
      <c r="Q72" s="83"/>
      <c r="S72" s="84"/>
      <c r="T72" s="46"/>
      <c r="U72" s="46"/>
      <c r="V72" s="46"/>
      <c r="W72" s="46"/>
      <c r="X72" s="46"/>
      <c r="Y72" s="46"/>
      <c r="Z72" s="83"/>
    </row>
    <row r="73" spans="1:26" x14ac:dyDescent="0.3">
      <c r="A73" s="84"/>
      <c r="B73" s="46"/>
      <c r="C73" s="46"/>
      <c r="D73" s="46"/>
      <c r="E73" s="46"/>
      <c r="F73" s="46"/>
      <c r="G73" s="46"/>
      <c r="H73" s="83"/>
      <c r="J73" s="84"/>
      <c r="K73" s="46"/>
      <c r="L73" s="46"/>
      <c r="M73" s="46"/>
      <c r="N73" s="46"/>
      <c r="O73" s="46"/>
      <c r="P73" s="46"/>
      <c r="Q73" s="83"/>
      <c r="S73" s="84"/>
      <c r="T73" s="46"/>
      <c r="U73" s="46"/>
      <c r="V73" s="46"/>
      <c r="W73" s="46"/>
      <c r="X73" s="46"/>
      <c r="Y73" s="46"/>
      <c r="Z73" s="83"/>
    </row>
    <row r="74" spans="1:26" x14ac:dyDescent="0.3">
      <c r="A74" s="84"/>
      <c r="B74" s="46"/>
      <c r="C74" s="46"/>
      <c r="D74" s="46"/>
      <c r="E74" s="46"/>
      <c r="F74" s="46"/>
      <c r="G74" s="46"/>
      <c r="H74" s="83"/>
      <c r="J74" s="84"/>
      <c r="K74" s="46"/>
      <c r="L74" s="46"/>
      <c r="M74" s="46"/>
      <c r="N74" s="46"/>
      <c r="O74" s="46"/>
      <c r="P74" s="46"/>
      <c r="Q74" s="83"/>
      <c r="S74" s="84"/>
      <c r="T74" s="46"/>
      <c r="U74" s="46"/>
      <c r="V74" s="46"/>
      <c r="W74" s="46"/>
      <c r="X74" s="46"/>
      <c r="Y74" s="46"/>
      <c r="Z74" s="83"/>
    </row>
    <row r="75" spans="1:26" x14ac:dyDescent="0.3">
      <c r="A75" s="84"/>
      <c r="B75" s="46"/>
      <c r="C75" s="46"/>
      <c r="D75" s="46"/>
      <c r="E75" s="46"/>
      <c r="F75" s="46"/>
      <c r="G75" s="46"/>
      <c r="H75" s="83"/>
      <c r="J75" s="84"/>
      <c r="K75" s="46"/>
      <c r="L75" s="46"/>
      <c r="M75" s="46"/>
      <c r="N75" s="46"/>
      <c r="O75" s="46"/>
      <c r="P75" s="46"/>
      <c r="Q75" s="83"/>
      <c r="S75" s="84"/>
      <c r="T75" s="46"/>
      <c r="U75" s="46"/>
      <c r="V75" s="46"/>
      <c r="W75" s="46"/>
      <c r="X75" s="46"/>
      <c r="Y75" s="46"/>
      <c r="Z75" s="83"/>
    </row>
    <row r="76" spans="1:26" x14ac:dyDescent="0.3">
      <c r="A76" s="84"/>
      <c r="B76" s="46"/>
      <c r="C76" s="46"/>
      <c r="D76" s="46"/>
      <c r="E76" s="46"/>
      <c r="F76" s="46"/>
      <c r="G76" s="46"/>
      <c r="H76" s="83"/>
      <c r="J76" s="84"/>
      <c r="K76" s="46"/>
      <c r="L76" s="46"/>
      <c r="M76" s="46"/>
      <c r="N76" s="46"/>
      <c r="O76" s="46"/>
      <c r="P76" s="46"/>
      <c r="Q76" s="83"/>
      <c r="S76" s="84"/>
      <c r="T76" s="46"/>
      <c r="U76" s="46"/>
      <c r="V76" s="46"/>
      <c r="W76" s="46"/>
      <c r="X76" s="46"/>
      <c r="Y76" s="46"/>
      <c r="Z76" s="83"/>
    </row>
    <row r="77" spans="1:26" x14ac:dyDescent="0.3">
      <c r="A77" s="84"/>
      <c r="B77" s="46"/>
      <c r="C77" s="46"/>
      <c r="D77" s="46"/>
      <c r="E77" s="46"/>
      <c r="F77" s="46"/>
      <c r="G77" s="46"/>
      <c r="H77" s="83"/>
      <c r="J77" s="84"/>
      <c r="K77" s="46"/>
      <c r="L77" s="46"/>
      <c r="M77" s="46"/>
      <c r="N77" s="46"/>
      <c r="O77" s="46"/>
      <c r="P77" s="46"/>
      <c r="Q77" s="83"/>
      <c r="S77" s="84"/>
      <c r="T77" s="46"/>
      <c r="U77" s="46"/>
      <c r="V77" s="46"/>
      <c r="W77" s="46"/>
      <c r="X77" s="46"/>
      <c r="Y77" s="46"/>
      <c r="Z77" s="83"/>
    </row>
    <row r="78" spans="1:26" x14ac:dyDescent="0.3">
      <c r="A78" s="84"/>
      <c r="B78" s="46"/>
      <c r="C78" s="46"/>
      <c r="D78" s="46"/>
      <c r="E78" s="46"/>
      <c r="F78" s="46"/>
      <c r="G78" s="46"/>
      <c r="H78" s="83"/>
      <c r="J78" s="84"/>
      <c r="K78" s="46"/>
      <c r="L78" s="46"/>
      <c r="M78" s="46"/>
      <c r="N78" s="46"/>
      <c r="O78" s="46"/>
      <c r="P78" s="46"/>
      <c r="Q78" s="83"/>
      <c r="S78" s="84"/>
      <c r="T78" s="46"/>
      <c r="U78" s="46"/>
      <c r="V78" s="46"/>
      <c r="W78" s="46"/>
      <c r="X78" s="46"/>
      <c r="Y78" s="46"/>
      <c r="Z78" s="83"/>
    </row>
    <row r="79" spans="1:26" x14ac:dyDescent="0.3">
      <c r="A79" s="84"/>
      <c r="B79" s="46"/>
      <c r="C79" s="46"/>
      <c r="D79" s="46"/>
      <c r="E79" s="46"/>
      <c r="F79" s="46"/>
      <c r="G79" s="46"/>
      <c r="H79" s="83"/>
      <c r="J79" s="84"/>
      <c r="K79" s="46"/>
      <c r="L79" s="46"/>
      <c r="M79" s="46"/>
      <c r="N79" s="46"/>
      <c r="O79" s="46"/>
      <c r="P79" s="46"/>
      <c r="Q79" s="83"/>
      <c r="S79" s="84"/>
      <c r="T79" s="46"/>
      <c r="U79" s="46"/>
      <c r="V79" s="46"/>
      <c r="W79" s="46"/>
      <c r="X79" s="46"/>
      <c r="Y79" s="46"/>
      <c r="Z79" s="83"/>
    </row>
    <row r="80" spans="1:26" ht="15" thickBot="1" x14ac:dyDescent="0.35">
      <c r="A80" s="82"/>
      <c r="B80" s="81"/>
      <c r="C80" s="81"/>
      <c r="D80" s="81"/>
      <c r="E80" s="81"/>
      <c r="F80" s="81"/>
      <c r="G80" s="81"/>
      <c r="H80" s="80"/>
      <c r="J80" s="82"/>
      <c r="K80" s="81"/>
      <c r="L80" s="81"/>
      <c r="M80" s="81"/>
      <c r="N80" s="81"/>
      <c r="O80" s="81"/>
      <c r="P80" s="81"/>
      <c r="Q80" s="80"/>
      <c r="S80" s="82"/>
      <c r="T80" s="81"/>
      <c r="U80" s="81"/>
      <c r="V80" s="81"/>
      <c r="W80" s="81"/>
      <c r="X80" s="81"/>
      <c r="Y80" s="81"/>
      <c r="Z80" s="80"/>
    </row>
    <row r="82" spans="1:17" ht="15" thickBot="1" x14ac:dyDescent="0.35"/>
    <row r="83" spans="1:17" ht="15" customHeight="1" x14ac:dyDescent="0.3">
      <c r="A83" s="87"/>
      <c r="B83" s="86"/>
      <c r="C83" s="86"/>
      <c r="D83" s="238" t="s">
        <v>26</v>
      </c>
      <c r="E83" s="240"/>
      <c r="F83" s="86"/>
      <c r="G83" s="86"/>
      <c r="H83" s="85"/>
      <c r="J83" s="87"/>
      <c r="K83" s="86"/>
      <c r="L83" s="86"/>
      <c r="M83" s="232" t="s">
        <v>27</v>
      </c>
      <c r="N83" s="234"/>
      <c r="O83" s="86"/>
      <c r="P83" s="86"/>
      <c r="Q83" s="85"/>
    </row>
    <row r="84" spans="1:17" ht="15.75" customHeight="1" thickBot="1" x14ac:dyDescent="0.35">
      <c r="A84" s="84"/>
      <c r="B84" s="46"/>
      <c r="C84" s="46"/>
      <c r="D84" s="241"/>
      <c r="E84" s="243"/>
      <c r="F84" s="46"/>
      <c r="G84" s="46"/>
      <c r="H84" s="83"/>
      <c r="J84" s="84"/>
      <c r="K84" s="46"/>
      <c r="L84" s="46"/>
      <c r="M84" s="235"/>
      <c r="N84" s="237"/>
      <c r="O84" s="46"/>
      <c r="P84" s="46"/>
      <c r="Q84" s="83"/>
    </row>
    <row r="85" spans="1:17" x14ac:dyDescent="0.3">
      <c r="A85" s="84"/>
      <c r="B85" s="46"/>
      <c r="C85" s="46"/>
      <c r="D85" s="46"/>
      <c r="E85" s="46"/>
      <c r="F85" s="46"/>
      <c r="G85" s="46"/>
      <c r="H85" s="83"/>
      <c r="J85" s="84"/>
      <c r="K85" s="46"/>
      <c r="L85" s="46"/>
      <c r="M85" s="46"/>
      <c r="N85" s="46"/>
      <c r="O85" s="46"/>
      <c r="P85" s="46"/>
      <c r="Q85" s="83"/>
    </row>
    <row r="86" spans="1:17" x14ac:dyDescent="0.3">
      <c r="A86" s="84"/>
      <c r="B86" s="46"/>
      <c r="C86" s="46"/>
      <c r="D86" s="46"/>
      <c r="E86" s="46"/>
      <c r="F86" s="46"/>
      <c r="G86" s="46"/>
      <c r="H86" s="83"/>
      <c r="J86" s="84"/>
      <c r="K86" s="46"/>
      <c r="L86" s="46"/>
      <c r="M86" s="46"/>
      <c r="N86" s="46"/>
      <c r="O86" s="46"/>
      <c r="P86" s="46"/>
      <c r="Q86" s="83"/>
    </row>
    <row r="87" spans="1:17" x14ac:dyDescent="0.3">
      <c r="A87" s="84"/>
      <c r="B87" s="46"/>
      <c r="C87" s="46"/>
      <c r="D87" s="46"/>
      <c r="E87" s="46"/>
      <c r="F87" s="46"/>
      <c r="G87" s="46"/>
      <c r="H87" s="83"/>
      <c r="J87" s="84"/>
      <c r="K87" s="46"/>
      <c r="L87" s="46"/>
      <c r="M87" s="46"/>
      <c r="N87" s="46"/>
      <c r="O87" s="46"/>
      <c r="P87" s="46"/>
      <c r="Q87" s="83"/>
    </row>
    <row r="88" spans="1:17" x14ac:dyDescent="0.3">
      <c r="A88" s="84"/>
      <c r="B88" s="46"/>
      <c r="C88" s="46"/>
      <c r="D88" s="46"/>
      <c r="E88" s="46"/>
      <c r="F88" s="46"/>
      <c r="G88" s="46"/>
      <c r="H88" s="83"/>
      <c r="J88" s="84"/>
      <c r="K88" s="46"/>
      <c r="L88" s="46"/>
      <c r="M88" s="46"/>
      <c r="N88" s="46"/>
      <c r="O88" s="46"/>
      <c r="P88" s="46"/>
      <c r="Q88" s="83"/>
    </row>
    <row r="89" spans="1:17" x14ac:dyDescent="0.3">
      <c r="A89" s="84"/>
      <c r="B89" s="46"/>
      <c r="C89" s="46"/>
      <c r="D89" s="46"/>
      <c r="E89" s="46"/>
      <c r="F89" s="46"/>
      <c r="G89" s="46"/>
      <c r="H89" s="83"/>
      <c r="J89" s="84"/>
      <c r="K89" s="46"/>
      <c r="L89" s="46"/>
      <c r="M89" s="46"/>
      <c r="N89" s="46"/>
      <c r="O89" s="46"/>
      <c r="P89" s="46"/>
      <c r="Q89" s="83"/>
    </row>
    <row r="90" spans="1:17" x14ac:dyDescent="0.3">
      <c r="A90" s="84"/>
      <c r="B90" s="46"/>
      <c r="C90" s="46"/>
      <c r="D90" s="46"/>
      <c r="E90" s="46"/>
      <c r="F90" s="46"/>
      <c r="G90" s="46"/>
      <c r="H90" s="83"/>
      <c r="J90" s="84"/>
      <c r="K90" s="46"/>
      <c r="L90" s="46"/>
      <c r="M90" s="46"/>
      <c r="N90" s="46"/>
      <c r="O90" s="46"/>
      <c r="P90" s="46"/>
      <c r="Q90" s="83"/>
    </row>
    <row r="91" spans="1:17" x14ac:dyDescent="0.3">
      <c r="A91" s="84"/>
      <c r="B91" s="46"/>
      <c r="C91" s="46"/>
      <c r="D91" s="46"/>
      <c r="E91" s="46"/>
      <c r="F91" s="46"/>
      <c r="G91" s="46"/>
      <c r="H91" s="83"/>
      <c r="J91" s="84"/>
      <c r="K91" s="46"/>
      <c r="L91" s="46"/>
      <c r="M91" s="46"/>
      <c r="N91" s="46"/>
      <c r="O91" s="46"/>
      <c r="P91" s="46"/>
      <c r="Q91" s="83"/>
    </row>
    <row r="92" spans="1:17" x14ac:dyDescent="0.3">
      <c r="A92" s="84"/>
      <c r="B92" s="46"/>
      <c r="C92" s="46"/>
      <c r="D92" s="46"/>
      <c r="E92" s="46"/>
      <c r="F92" s="46"/>
      <c r="G92" s="46"/>
      <c r="H92" s="83"/>
      <c r="J92" s="84"/>
      <c r="K92" s="46"/>
      <c r="L92" s="46"/>
      <c r="M92" s="46"/>
      <c r="N92" s="46"/>
      <c r="O92" s="46"/>
      <c r="P92" s="46"/>
      <c r="Q92" s="83"/>
    </row>
    <row r="93" spans="1:17" x14ac:dyDescent="0.3">
      <c r="A93" s="84"/>
      <c r="B93" s="46"/>
      <c r="C93" s="46"/>
      <c r="D93" s="46"/>
      <c r="E93" s="46"/>
      <c r="F93" s="46"/>
      <c r="G93" s="46"/>
      <c r="H93" s="83"/>
      <c r="J93" s="84"/>
      <c r="K93" s="46"/>
      <c r="L93" s="46"/>
      <c r="M93" s="46"/>
      <c r="N93" s="46"/>
      <c r="O93" s="46"/>
      <c r="P93" s="46"/>
      <c r="Q93" s="83"/>
    </row>
    <row r="94" spans="1:17" x14ac:dyDescent="0.3">
      <c r="A94" s="84"/>
      <c r="B94" s="46"/>
      <c r="C94" s="46"/>
      <c r="D94" s="46"/>
      <c r="E94" s="46"/>
      <c r="F94" s="46"/>
      <c r="G94" s="46"/>
      <c r="H94" s="83"/>
      <c r="J94" s="84"/>
      <c r="K94" s="46"/>
      <c r="L94" s="46"/>
      <c r="M94" s="46"/>
      <c r="N94" s="46"/>
      <c r="O94" s="46"/>
      <c r="P94" s="46"/>
      <c r="Q94" s="83"/>
    </row>
    <row r="95" spans="1:17" x14ac:dyDescent="0.3">
      <c r="A95" s="84"/>
      <c r="B95" s="46"/>
      <c r="C95" s="46"/>
      <c r="D95" s="46"/>
      <c r="E95" s="46"/>
      <c r="F95" s="46"/>
      <c r="G95" s="46"/>
      <c r="H95" s="83"/>
      <c r="J95" s="84"/>
      <c r="K95" s="46"/>
      <c r="L95" s="46"/>
      <c r="M95" s="46"/>
      <c r="N95" s="46"/>
      <c r="O95" s="46"/>
      <c r="P95" s="46"/>
      <c r="Q95" s="83"/>
    </row>
    <row r="96" spans="1:17" x14ac:dyDescent="0.3">
      <c r="A96" s="84"/>
      <c r="B96" s="46"/>
      <c r="C96" s="46"/>
      <c r="D96" s="46"/>
      <c r="E96" s="46"/>
      <c r="F96" s="46"/>
      <c r="G96" s="46"/>
      <c r="H96" s="83"/>
      <c r="J96" s="84"/>
      <c r="K96" s="46"/>
      <c r="L96" s="46"/>
      <c r="M96" s="46"/>
      <c r="N96" s="46"/>
      <c r="O96" s="46"/>
      <c r="P96" s="46"/>
      <c r="Q96" s="83"/>
    </row>
    <row r="97" spans="1:50" x14ac:dyDescent="0.3">
      <c r="A97" s="84"/>
      <c r="B97" s="46"/>
      <c r="C97" s="46"/>
      <c r="D97" s="46"/>
      <c r="E97" s="46"/>
      <c r="F97" s="46"/>
      <c r="G97" s="46"/>
      <c r="H97" s="83"/>
      <c r="J97" s="84"/>
      <c r="K97" s="46"/>
      <c r="L97" s="46"/>
      <c r="M97" s="46"/>
      <c r="N97" s="46"/>
      <c r="O97" s="46"/>
      <c r="P97" s="46"/>
      <c r="Q97" s="83"/>
    </row>
    <row r="98" spans="1:50" x14ac:dyDescent="0.3">
      <c r="A98" s="84"/>
      <c r="B98" s="46"/>
      <c r="C98" s="46"/>
      <c r="D98" s="46"/>
      <c r="E98" s="46"/>
      <c r="F98" s="46"/>
      <c r="G98" s="46"/>
      <c r="H98" s="83"/>
      <c r="J98" s="84"/>
      <c r="K98" s="46"/>
      <c r="L98" s="46"/>
      <c r="M98" s="46"/>
      <c r="N98" s="46"/>
      <c r="O98" s="46"/>
      <c r="P98" s="46"/>
      <c r="Q98" s="83"/>
    </row>
    <row r="99" spans="1:50" x14ac:dyDescent="0.3">
      <c r="A99" s="84"/>
      <c r="B99" s="46"/>
      <c r="C99" s="46"/>
      <c r="D99" s="46"/>
      <c r="E99" s="46"/>
      <c r="F99" s="46"/>
      <c r="G99" s="46"/>
      <c r="H99" s="83"/>
      <c r="J99" s="84"/>
      <c r="K99" s="46"/>
      <c r="L99" s="46"/>
      <c r="M99" s="46"/>
      <c r="N99" s="46"/>
      <c r="O99" s="46"/>
      <c r="P99" s="46"/>
      <c r="Q99" s="83"/>
    </row>
    <row r="100" spans="1:50" ht="15" thickBot="1" x14ac:dyDescent="0.35">
      <c r="A100" s="82"/>
      <c r="B100" s="81"/>
      <c r="C100" s="81"/>
      <c r="D100" s="81"/>
      <c r="E100" s="81"/>
      <c r="F100" s="81"/>
      <c r="G100" s="81"/>
      <c r="H100" s="80"/>
      <c r="J100" s="82"/>
      <c r="K100" s="81"/>
      <c r="L100" s="81"/>
      <c r="M100" s="81"/>
      <c r="N100" s="81"/>
      <c r="O100" s="81"/>
      <c r="P100" s="81"/>
      <c r="Q100" s="80"/>
    </row>
    <row r="101" spans="1:50" ht="23.4" x14ac:dyDescent="0.45">
      <c r="A101" s="89" t="s">
        <v>28</v>
      </c>
    </row>
    <row r="102" spans="1:50" ht="15" thickBot="1" x14ac:dyDescent="0.35"/>
    <row r="103" spans="1:50" x14ac:dyDescent="0.3">
      <c r="A103" s="191" t="s">
        <v>29</v>
      </c>
      <c r="B103" s="192" t="s">
        <v>30</v>
      </c>
      <c r="C103" s="192" t="s">
        <v>31</v>
      </c>
      <c r="D103" s="192" t="s">
        <v>8</v>
      </c>
      <c r="E103" s="192" t="s">
        <v>32</v>
      </c>
      <c r="F103" s="192" t="s">
        <v>33</v>
      </c>
      <c r="G103" s="192" t="s">
        <v>34</v>
      </c>
      <c r="H103" s="192" t="s">
        <v>35</v>
      </c>
      <c r="I103" s="192" t="s">
        <v>36</v>
      </c>
      <c r="J103" s="192" t="s">
        <v>37</v>
      </c>
      <c r="K103" s="192" t="s">
        <v>38</v>
      </c>
      <c r="L103" s="192" t="s">
        <v>39</v>
      </c>
      <c r="M103" s="192" t="s">
        <v>40</v>
      </c>
      <c r="N103" s="192" t="s">
        <v>41</v>
      </c>
      <c r="O103" s="192" t="s">
        <v>42</v>
      </c>
      <c r="P103" s="192" t="s">
        <v>43</v>
      </c>
      <c r="Q103" s="192" t="s">
        <v>44</v>
      </c>
      <c r="R103" s="192" t="s">
        <v>45</v>
      </c>
      <c r="S103" s="192" t="s">
        <v>46</v>
      </c>
      <c r="T103" s="192" t="s">
        <v>47</v>
      </c>
      <c r="U103" s="192" t="s">
        <v>48</v>
      </c>
      <c r="V103" s="192" t="s">
        <v>49</v>
      </c>
      <c r="W103" s="192" t="s">
        <v>9</v>
      </c>
      <c r="X103" s="192" t="s">
        <v>10</v>
      </c>
      <c r="Y103" s="192" t="s">
        <v>50</v>
      </c>
      <c r="Z103" s="192" t="s">
        <v>11</v>
      </c>
      <c r="AA103" s="192" t="s">
        <v>51</v>
      </c>
      <c r="AB103" s="192" t="s">
        <v>52</v>
      </c>
      <c r="AC103" s="192" t="s">
        <v>53</v>
      </c>
      <c r="AD103" s="192" t="s">
        <v>54</v>
      </c>
      <c r="AE103" s="192" t="s">
        <v>55</v>
      </c>
      <c r="AF103" s="192" t="s">
        <v>56</v>
      </c>
      <c r="AG103" s="192" t="s">
        <v>57</v>
      </c>
      <c r="AH103" s="192" t="s">
        <v>58</v>
      </c>
      <c r="AI103" s="192" t="s">
        <v>59</v>
      </c>
      <c r="AJ103" s="192" t="s">
        <v>60</v>
      </c>
      <c r="AK103" s="192" t="s">
        <v>61</v>
      </c>
      <c r="AL103" s="192" t="s">
        <v>62</v>
      </c>
      <c r="AM103" s="192" t="s">
        <v>63</v>
      </c>
      <c r="AN103" s="192" t="s">
        <v>64</v>
      </c>
      <c r="AO103" s="192" t="s">
        <v>65</v>
      </c>
      <c r="AP103" s="192" t="s">
        <v>66</v>
      </c>
      <c r="AQ103" s="192" t="s">
        <v>67</v>
      </c>
      <c r="AR103" s="192" t="s">
        <v>68</v>
      </c>
      <c r="AS103" s="192" t="s">
        <v>69</v>
      </c>
      <c r="AT103" s="192" t="s">
        <v>70</v>
      </c>
      <c r="AU103" s="192" t="s">
        <v>71</v>
      </c>
      <c r="AV103" s="192" t="s">
        <v>72</v>
      </c>
      <c r="AW103" s="193" t="s">
        <v>73</v>
      </c>
      <c r="AX103" s="231" t="s">
        <v>14</v>
      </c>
    </row>
    <row r="104" spans="1:50" x14ac:dyDescent="0.3">
      <c r="A104" s="194" t="s">
        <v>74</v>
      </c>
      <c r="B104" s="195">
        <v>2006</v>
      </c>
      <c r="C104" s="195">
        <v>3634</v>
      </c>
      <c r="D104" s="195">
        <v>4375</v>
      </c>
      <c r="E104" s="195">
        <v>1360</v>
      </c>
      <c r="F104" s="195"/>
      <c r="G104" s="195"/>
      <c r="H104" s="195">
        <v>339</v>
      </c>
      <c r="I104" s="195">
        <f>IF(Cruise!$H104&gt;0,Cruise!$H104,Cruise!$F104)</f>
        <v>339</v>
      </c>
      <c r="J104" s="195"/>
      <c r="K104" s="195">
        <v>56</v>
      </c>
      <c r="L104" s="195">
        <v>8.5299999999999994</v>
      </c>
      <c r="M104" s="195"/>
      <c r="N104" s="195">
        <v>154407</v>
      </c>
      <c r="O104" s="195"/>
      <c r="P104" s="195">
        <v>0.75614462764947477</v>
      </c>
      <c r="Q104" s="196">
        <f t="shared" ref="Q104:Q141" si="0">1.08-1.68*AD104</f>
        <v>0.75781995260857049</v>
      </c>
      <c r="R104" s="196">
        <f t="shared" ref="R104:R121" si="1">(0.23/AD104^(2/3))*((I104/K104)+20)/26</f>
        <v>0.69304618951824282</v>
      </c>
      <c r="S104" s="196">
        <f t="shared" ref="S104:S141" si="2">0.27/(AD104^(3/5))</f>
        <v>0.72726074844308475</v>
      </c>
      <c r="T104" s="196">
        <f>(Cruise!$Q104+Cruise!$R104)/2</f>
        <v>0.72543307106340671</v>
      </c>
      <c r="U104" s="196">
        <f>I104*K104*L104</f>
        <v>161933.51999999999</v>
      </c>
      <c r="V104" s="196">
        <f>I104/((S104*I104*K104*L104/1025)^(1/3))</f>
        <v>69.731983440899796</v>
      </c>
      <c r="W104" s="196">
        <f>I104/K104</f>
        <v>6.0535714285714288</v>
      </c>
      <c r="X104" s="196">
        <f>K104/L104</f>
        <v>6.5650644783118413</v>
      </c>
      <c r="Y104" s="196">
        <f>I104/L104</f>
        <v>39.742086752637753</v>
      </c>
      <c r="Z104" s="196"/>
      <c r="AA104" s="195"/>
      <c r="AB104" s="195">
        <v>21.6</v>
      </c>
      <c r="AC104" s="196">
        <f t="shared" ref="AC104:AC108" si="3">(AB104*0.512)</f>
        <v>11.059200000000001</v>
      </c>
      <c r="AD104" s="196">
        <f>AC104/SQRT(I104*9.81)</f>
        <v>0.19177383773299378</v>
      </c>
      <c r="AE104" s="197"/>
      <c r="AF104" s="195"/>
      <c r="AG104" s="195" t="s">
        <v>75</v>
      </c>
      <c r="AH104" s="195" t="s">
        <v>76</v>
      </c>
      <c r="AI104" s="195"/>
      <c r="AJ104" s="195"/>
      <c r="AK104" s="195">
        <v>18</v>
      </c>
      <c r="AL104" s="195">
        <v>15</v>
      </c>
      <c r="AM104" s="195"/>
      <c r="AN104" s="195"/>
      <c r="AO104" s="195" t="s">
        <v>77</v>
      </c>
      <c r="AP104" s="195" t="s">
        <v>78</v>
      </c>
      <c r="AQ104" s="195"/>
      <c r="AR104" s="195"/>
      <c r="AS104" s="195"/>
      <c r="AT104" s="195"/>
      <c r="AU104" s="195"/>
      <c r="AV104" s="195"/>
      <c r="AW104" s="198">
        <f>Cruise!$I104/(Cruise!$S104*Cruise!$I104*Cruise!$K104*Cruise!$L104)^(1/3)</f>
        <v>6.916038409735549</v>
      </c>
    </row>
    <row r="105" spans="1:50" x14ac:dyDescent="0.3">
      <c r="A105" s="199" t="s">
        <v>79</v>
      </c>
      <c r="B105" s="200">
        <v>2009</v>
      </c>
      <c r="C105" s="200">
        <v>5412</v>
      </c>
      <c r="D105" s="200">
        <v>6296</v>
      </c>
      <c r="E105" s="200">
        <v>2394</v>
      </c>
      <c r="F105" s="201">
        <v>360</v>
      </c>
      <c r="G105" s="201">
        <v>360</v>
      </c>
      <c r="H105" s="200">
        <v>362</v>
      </c>
      <c r="I105" s="200">
        <f>IF(Cruise!$H105&gt;0,Cruise!$H105,Cruise!$F105)</f>
        <v>362</v>
      </c>
      <c r="J105" s="200">
        <v>22.5</v>
      </c>
      <c r="K105" s="200">
        <v>65</v>
      </c>
      <c r="L105" s="200">
        <v>9.3000000000000007</v>
      </c>
      <c r="M105" s="200"/>
      <c r="N105" s="200">
        <v>225282</v>
      </c>
      <c r="O105" s="202">
        <v>25000</v>
      </c>
      <c r="P105" s="200">
        <v>0.75209249427815728</v>
      </c>
      <c r="Q105" s="203">
        <f t="shared" si="0"/>
        <v>0.75378878118741377</v>
      </c>
      <c r="R105" s="203">
        <f t="shared" si="1"/>
        <v>0.67454730278163544</v>
      </c>
      <c r="S105" s="203">
        <f t="shared" si="2"/>
        <v>0.72185504729541872</v>
      </c>
      <c r="T105" s="203">
        <f>(Cruise!$Q105+Cruise!$R105)/2</f>
        <v>0.71416804198452466</v>
      </c>
      <c r="U105" s="196">
        <f t="shared" ref="U105:U167" si="4">I105*K105*L105</f>
        <v>218829.00000000003</v>
      </c>
      <c r="V105" s="196">
        <f t="shared" ref="V105:V167" si="5">I105/((S105*I105*K105*L105/1025)^(1/3))</f>
        <v>67.519865411850006</v>
      </c>
      <c r="W105" s="196">
        <f t="shared" ref="W105:W167" si="6">I105/K105</f>
        <v>5.569230769230769</v>
      </c>
      <c r="X105" s="196">
        <f t="shared" ref="X105:X167" si="7">K105/L105</f>
        <v>6.9892473118279561</v>
      </c>
      <c r="Y105" s="196">
        <f>I105/L105</f>
        <v>38.924731182795696</v>
      </c>
      <c r="Z105" s="196">
        <f>Cruise!$I105/Cruise!$J105</f>
        <v>16.088888888888889</v>
      </c>
      <c r="AA105" s="200"/>
      <c r="AB105" s="200">
        <v>22.6</v>
      </c>
      <c r="AC105" s="203">
        <f t="shared" si="3"/>
        <v>11.571200000000001</v>
      </c>
      <c r="AD105" s="196">
        <f t="shared" ref="AD105:AD167" si="8">AC105/SQRT(I105*9.81)</f>
        <v>0.19417334453130139</v>
      </c>
      <c r="AE105" s="204"/>
      <c r="AF105" s="200"/>
      <c r="AG105" s="200"/>
      <c r="AH105" s="200" t="s">
        <v>80</v>
      </c>
      <c r="AI105" s="200"/>
      <c r="AJ105" s="200"/>
      <c r="AK105" s="200"/>
      <c r="AL105" s="200">
        <v>16</v>
      </c>
      <c r="AM105" s="200"/>
      <c r="AN105" s="200">
        <v>2.8888888888888888</v>
      </c>
      <c r="AO105" s="200"/>
      <c r="AP105" s="200"/>
      <c r="AQ105" s="200"/>
      <c r="AR105" s="200"/>
      <c r="AS105" s="200"/>
      <c r="AT105" s="200"/>
      <c r="AU105" s="200"/>
      <c r="AV105" s="200"/>
      <c r="AW105" s="205">
        <f>Cruise!$I105/(Cruise!$S105*Cruise!$I105*Cruise!$K105*Cruise!$L105)^(1/3)</f>
        <v>6.6966398998861418</v>
      </c>
      <c r="AX105">
        <f>(Cruise!$S105*Cruise!$I105*Cruise!$K105*Cruise!$L105)*1.025/O105</f>
        <v>6.4764755439289763</v>
      </c>
    </row>
    <row r="106" spans="1:50" x14ac:dyDescent="0.3">
      <c r="A106" s="194" t="s">
        <v>81</v>
      </c>
      <c r="B106" s="195">
        <v>2001</v>
      </c>
      <c r="C106" s="195">
        <v>3114</v>
      </c>
      <c r="D106" s="195">
        <v>3807</v>
      </c>
      <c r="E106" s="195">
        <v>1180</v>
      </c>
      <c r="F106" s="195"/>
      <c r="G106" s="195"/>
      <c r="H106" s="195">
        <v>310</v>
      </c>
      <c r="I106" s="195">
        <f>IF(Cruise!$H106&gt;0,Cruise!$H106,Cruise!$F106)</f>
        <v>310</v>
      </c>
      <c r="J106" s="195">
        <v>11.7</v>
      </c>
      <c r="K106" s="195">
        <v>48</v>
      </c>
      <c r="L106" s="195">
        <v>8.6</v>
      </c>
      <c r="M106" s="195"/>
      <c r="N106" s="195">
        <v>137276</v>
      </c>
      <c r="O106" s="206">
        <v>11033</v>
      </c>
      <c r="P106" s="195">
        <v>0.72722412722395091</v>
      </c>
      <c r="Q106" s="195">
        <f t="shared" si="0"/>
        <v>0.72904905981759272</v>
      </c>
      <c r="R106" s="195">
        <f t="shared" si="1"/>
        <v>0.66480184997181246</v>
      </c>
      <c r="S106" s="195">
        <f t="shared" si="2"/>
        <v>0.690878196686877</v>
      </c>
      <c r="T106" s="195">
        <f>(Cruise!$Q106+Cruise!$R106)/2</f>
        <v>0.69692545489470259</v>
      </c>
      <c r="U106" s="196">
        <f t="shared" si="4"/>
        <v>127968</v>
      </c>
      <c r="V106" s="196">
        <f t="shared" si="5"/>
        <v>70.1620105805234</v>
      </c>
      <c r="W106" s="196">
        <f t="shared" si="6"/>
        <v>6.458333333333333</v>
      </c>
      <c r="X106" s="196">
        <f t="shared" si="7"/>
        <v>5.5813953488372094</v>
      </c>
      <c r="Y106" s="196">
        <f t="shared" ref="Y106:Y168" si="9">I106/L106</f>
        <v>36.04651162790698</v>
      </c>
      <c r="Z106" s="196">
        <f>Cruise!$I106/Cruise!$J106</f>
        <v>26.495726495726498</v>
      </c>
      <c r="AA106" s="195"/>
      <c r="AB106" s="195">
        <v>22.5</v>
      </c>
      <c r="AC106" s="195">
        <f t="shared" si="3"/>
        <v>11.52</v>
      </c>
      <c r="AD106" s="196">
        <f t="shared" si="8"/>
        <v>0.20889936915619484</v>
      </c>
      <c r="AE106" s="197"/>
      <c r="AF106" s="195"/>
      <c r="AG106" s="195" t="s">
        <v>75</v>
      </c>
      <c r="AH106" s="195" t="s">
        <v>82</v>
      </c>
      <c r="AI106" s="195"/>
      <c r="AJ106" s="195"/>
      <c r="AK106" s="195"/>
      <c r="AL106" s="195">
        <v>14</v>
      </c>
      <c r="AM106" s="195"/>
      <c r="AN106" s="195">
        <v>4.1025641025641031</v>
      </c>
      <c r="AO106" s="195" t="s">
        <v>83</v>
      </c>
      <c r="AP106" s="195" t="s">
        <v>84</v>
      </c>
      <c r="AQ106" s="195"/>
      <c r="AR106" s="195"/>
      <c r="AS106" s="195"/>
      <c r="AT106" s="195"/>
      <c r="AU106" s="195"/>
      <c r="AV106" s="195"/>
      <c r="AW106" s="198">
        <f>Cruise!$I106/(Cruise!$S106*Cruise!$I106*Cruise!$K106*Cruise!$L106)^(1/3)</f>
        <v>6.958688626581683</v>
      </c>
      <c r="AX106">
        <f>(Cruise!$S106*Cruise!$I106*Cruise!$K106*Cruise!$L106)*1.025/O106</f>
        <v>8.2135918245687414</v>
      </c>
    </row>
    <row r="107" spans="1:50" x14ac:dyDescent="0.3">
      <c r="A107" s="199" t="s">
        <v>85</v>
      </c>
      <c r="B107" s="200">
        <v>2013</v>
      </c>
      <c r="C107" s="200"/>
      <c r="D107" s="200">
        <v>2194</v>
      </c>
      <c r="E107" s="200">
        <v>609</v>
      </c>
      <c r="F107" s="200">
        <v>253.3</v>
      </c>
      <c r="G107" s="200"/>
      <c r="H107" s="200"/>
      <c r="I107" s="200">
        <f>IF(Cruise!$H107&gt;0,Cruise!$H107,Cruise!$F107)</f>
        <v>253.3</v>
      </c>
      <c r="J107" s="200"/>
      <c r="K107" s="200">
        <v>32.200000000000003</v>
      </c>
      <c r="L107" s="200">
        <v>7.3</v>
      </c>
      <c r="M107" s="200"/>
      <c r="N107" s="200">
        <v>71300</v>
      </c>
      <c r="O107" s="200"/>
      <c r="P107" s="200"/>
      <c r="Q107" s="200">
        <f t="shared" si="0"/>
        <v>0.68312386912513545</v>
      </c>
      <c r="R107" s="200">
        <f t="shared" si="1"/>
        <v>0.64506847558553915</v>
      </c>
      <c r="S107" s="200">
        <f t="shared" si="2"/>
        <v>0.64173591453187084</v>
      </c>
      <c r="T107" s="200">
        <f>(Cruise!$Q107+Cruise!$R107)/2</f>
        <v>0.66409617235533736</v>
      </c>
      <c r="U107" s="196">
        <f t="shared" si="4"/>
        <v>59540.698000000004</v>
      </c>
      <c r="V107" s="196">
        <f t="shared" si="5"/>
        <v>75.826275189049696</v>
      </c>
      <c r="W107" s="196">
        <f t="shared" si="6"/>
        <v>7.866459627329192</v>
      </c>
      <c r="X107" s="196">
        <f t="shared" si="7"/>
        <v>4.4109589041095898</v>
      </c>
      <c r="Y107" s="196">
        <f t="shared" si="9"/>
        <v>34.698630136986303</v>
      </c>
      <c r="Z107" s="196"/>
      <c r="AA107" s="200">
        <v>36000</v>
      </c>
      <c r="AB107" s="200">
        <v>23</v>
      </c>
      <c r="AC107" s="200">
        <f t="shared" si="3"/>
        <v>11.776</v>
      </c>
      <c r="AD107" s="196">
        <f t="shared" si="8"/>
        <v>0.23623579218741944</v>
      </c>
      <c r="AE107" s="204">
        <f>Cruise!$AA107/(Cruise!$AC107^3)</f>
        <v>22.044949575841031</v>
      </c>
      <c r="AF107" s="200"/>
      <c r="AG107" s="200"/>
      <c r="AH107" s="200"/>
      <c r="AI107" s="200"/>
      <c r="AJ107" s="200"/>
      <c r="AK107" s="200">
        <v>14</v>
      </c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5">
        <f>Cruise!$I107/(Cruise!$S107*Cruise!$I107*Cruise!$K107*Cruise!$L107)^(1/3)</f>
        <v>7.5204720387611932</v>
      </c>
    </row>
    <row r="108" spans="1:50" x14ac:dyDescent="0.3">
      <c r="A108" s="194" t="s">
        <v>86</v>
      </c>
      <c r="B108" s="195">
        <v>2010</v>
      </c>
      <c r="C108" s="195">
        <v>5412</v>
      </c>
      <c r="D108" s="195">
        <v>6296</v>
      </c>
      <c r="E108" s="195">
        <v>2384</v>
      </c>
      <c r="F108" s="195"/>
      <c r="G108" s="195"/>
      <c r="H108" s="195">
        <v>362</v>
      </c>
      <c r="I108" s="195">
        <f>IF(Cruise!$H108&gt;0,Cruise!$H108,Cruise!$F108)</f>
        <v>362</v>
      </c>
      <c r="J108" s="195">
        <v>22.555200000000003</v>
      </c>
      <c r="K108" s="195">
        <v>65</v>
      </c>
      <c r="L108" s="195">
        <v>9.3000000000000007</v>
      </c>
      <c r="M108" s="195"/>
      <c r="N108" s="195">
        <v>225282</v>
      </c>
      <c r="O108" s="195"/>
      <c r="P108" s="195">
        <v>0.75209249427815728</v>
      </c>
      <c r="Q108" s="195">
        <f t="shared" si="0"/>
        <v>0.75378878118741377</v>
      </c>
      <c r="R108" s="195">
        <f t="shared" si="1"/>
        <v>0.67454730278163544</v>
      </c>
      <c r="S108" s="195">
        <f t="shared" si="2"/>
        <v>0.72185504729541872</v>
      </c>
      <c r="T108" s="195">
        <f>(Cruise!$Q108+Cruise!$R108)/2</f>
        <v>0.71416804198452466</v>
      </c>
      <c r="U108" s="196">
        <f t="shared" si="4"/>
        <v>218829.00000000003</v>
      </c>
      <c r="V108" s="196">
        <f t="shared" si="5"/>
        <v>67.519865411850006</v>
      </c>
      <c r="W108" s="196">
        <f t="shared" si="6"/>
        <v>5.569230769230769</v>
      </c>
      <c r="X108" s="196">
        <f t="shared" si="7"/>
        <v>6.9892473118279561</v>
      </c>
      <c r="Y108" s="196">
        <f t="shared" si="9"/>
        <v>38.924731182795696</v>
      </c>
      <c r="Z108" s="196">
        <f>Cruise!$I108/Cruise!$J108</f>
        <v>16.049514081010141</v>
      </c>
      <c r="AA108" s="195"/>
      <c r="AB108" s="195">
        <v>22.6</v>
      </c>
      <c r="AC108" s="195">
        <f t="shared" si="3"/>
        <v>11.571200000000001</v>
      </c>
      <c r="AD108" s="196">
        <f t="shared" si="8"/>
        <v>0.19417334453130139</v>
      </c>
      <c r="AE108" s="197"/>
      <c r="AF108" s="195"/>
      <c r="AG108" s="195"/>
      <c r="AH108" s="195"/>
      <c r="AI108" s="195"/>
      <c r="AJ108" s="195"/>
      <c r="AK108" s="195"/>
      <c r="AL108" s="195">
        <v>16</v>
      </c>
      <c r="AM108" s="195"/>
      <c r="AN108" s="195">
        <v>2.8818188267007163</v>
      </c>
      <c r="AO108" s="195"/>
      <c r="AP108" s="195"/>
      <c r="AQ108" s="195"/>
      <c r="AR108" s="195"/>
      <c r="AS108" s="195"/>
      <c r="AT108" s="195"/>
      <c r="AU108" s="195"/>
      <c r="AV108" s="195"/>
      <c r="AW108" s="198">
        <f>Cruise!$I108/(Cruise!$S108*Cruise!$I108*Cruise!$K108*Cruise!$L108)^(1/3)</f>
        <v>6.6966398998861418</v>
      </c>
    </row>
    <row r="109" spans="1:50" x14ac:dyDescent="0.3">
      <c r="A109" s="207" t="s">
        <v>86</v>
      </c>
      <c r="B109" s="200"/>
      <c r="C109" s="200"/>
      <c r="D109" s="200"/>
      <c r="E109" s="200"/>
      <c r="F109" s="201">
        <v>362</v>
      </c>
      <c r="G109" s="201">
        <v>362</v>
      </c>
      <c r="H109" s="201">
        <v>362</v>
      </c>
      <c r="I109" s="203">
        <f>IF(Cruise!$H109&gt;0,Cruise!$H109,Cruise!$F109)</f>
        <v>362</v>
      </c>
      <c r="J109" s="200">
        <v>22.5</v>
      </c>
      <c r="K109" s="201">
        <v>47</v>
      </c>
      <c r="L109" s="201">
        <v>9.3000000000000007</v>
      </c>
      <c r="M109" s="200"/>
      <c r="N109" s="208">
        <v>225282</v>
      </c>
      <c r="O109" s="202">
        <v>19750</v>
      </c>
      <c r="P109" s="200"/>
      <c r="Q109" s="203">
        <f t="shared" si="0"/>
        <v>0.5415394877523162</v>
      </c>
      <c r="R109" s="203">
        <f t="shared" si="1"/>
        <v>0.52324436762779036</v>
      </c>
      <c r="S109" s="203">
        <f t="shared" si="2"/>
        <v>0.53438839368765401</v>
      </c>
      <c r="T109" s="203">
        <f>(Cruise!$Q109+Cruise!$R109)/2</f>
        <v>0.53239192769005328</v>
      </c>
      <c r="U109" s="196">
        <f t="shared" si="4"/>
        <v>158230.20000000001</v>
      </c>
      <c r="V109" s="196">
        <f t="shared" si="5"/>
        <v>83.157430389595334</v>
      </c>
      <c r="W109" s="196">
        <f t="shared" si="6"/>
        <v>7.7021276595744679</v>
      </c>
      <c r="X109" s="196">
        <f t="shared" si="7"/>
        <v>5.053763440860215</v>
      </c>
      <c r="Y109" s="196">
        <f t="shared" si="9"/>
        <v>38.924731182795696</v>
      </c>
      <c r="Z109" s="196">
        <f>Cruise!$I109/Cruise!$J109</f>
        <v>16.088888888888889</v>
      </c>
      <c r="AA109" s="200"/>
      <c r="AB109" s="200"/>
      <c r="AC109" s="209">
        <v>19.100000000000001</v>
      </c>
      <c r="AD109" s="196">
        <f t="shared" si="8"/>
        <v>0.32051220967124039</v>
      </c>
      <c r="AE109" s="204">
        <f>Cruise!$AA109/(Cruise!$AC109^3)</f>
        <v>0</v>
      </c>
      <c r="AF109" s="200"/>
      <c r="AG109" s="200"/>
      <c r="AH109" s="200"/>
      <c r="AI109" s="200"/>
      <c r="AJ109" s="200"/>
      <c r="AK109" s="200"/>
      <c r="AL109" s="200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10">
        <f>Cruise!$I109/(Cruise!$S109*Cruise!$I109*Cruise!$K109*Cruise!$L109)^(1/3)</f>
        <v>8.2475781449237697</v>
      </c>
      <c r="AX109">
        <f>(Cruise!$S109*Cruise!$I109*Cruise!$K109*Cruise!$L109)*1.025/O109</f>
        <v>4.3883692137290193</v>
      </c>
    </row>
    <row r="110" spans="1:50" x14ac:dyDescent="0.3">
      <c r="A110" s="194" t="s">
        <v>87</v>
      </c>
      <c r="B110" s="195">
        <v>2015</v>
      </c>
      <c r="C110" s="195">
        <v>4180</v>
      </c>
      <c r="D110" s="195">
        <v>4905</v>
      </c>
      <c r="E110" s="195">
        <v>1500</v>
      </c>
      <c r="F110" s="195">
        <v>348</v>
      </c>
      <c r="G110" s="195"/>
      <c r="H110" s="195"/>
      <c r="I110" s="195">
        <f>IF(Cruise!$H110&gt;0,Cruise!$H110,Cruise!$F110)</f>
        <v>348</v>
      </c>
      <c r="J110" s="195"/>
      <c r="K110" s="195">
        <v>41.4</v>
      </c>
      <c r="L110" s="195">
        <v>8.8000000000000007</v>
      </c>
      <c r="M110" s="195"/>
      <c r="N110" s="195">
        <v>168666</v>
      </c>
      <c r="O110" s="195">
        <v>12000</v>
      </c>
      <c r="P110" s="195"/>
      <c r="Q110" s="195">
        <f t="shared" si="0"/>
        <v>0.75451454729594203</v>
      </c>
      <c r="R110" s="195">
        <f t="shared" si="1"/>
        <v>0.75049292286043978</v>
      </c>
      <c r="S110" s="195">
        <f t="shared" si="2"/>
        <v>0.72282037068536475</v>
      </c>
      <c r="T110" s="195">
        <f>(Cruise!$Q110+Cruise!$R110)/2</f>
        <v>0.75250373507819091</v>
      </c>
      <c r="U110" s="196">
        <f t="shared" si="4"/>
        <v>126783.36</v>
      </c>
      <c r="V110" s="196">
        <f t="shared" si="5"/>
        <v>77.825691023338734</v>
      </c>
      <c r="W110" s="196">
        <f t="shared" si="6"/>
        <v>8.4057971014492754</v>
      </c>
      <c r="X110" s="196">
        <f t="shared" si="7"/>
        <v>4.7045454545454541</v>
      </c>
      <c r="Y110" s="196">
        <f t="shared" si="9"/>
        <v>39.54545454545454</v>
      </c>
      <c r="Z110" s="195"/>
      <c r="AA110" s="195"/>
      <c r="AB110" s="195"/>
      <c r="AC110" s="195">
        <v>11.32</v>
      </c>
      <c r="AD110" s="196">
        <f t="shared" si="8"/>
        <v>0.19374134089527265</v>
      </c>
      <c r="AE110" s="197">
        <f>Cruise!$AA110/(Cruise!$AC110^3)</f>
        <v>0</v>
      </c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  <c r="AW110" s="198">
        <f>Cruise!$I110/(Cruise!$S110*Cruise!$I110*Cruise!$K110*Cruise!$L110)^(1/3)</f>
        <v>7.7187746830377035</v>
      </c>
      <c r="AX110">
        <f>(Cruise!$S110*Cruise!$I110*Cruise!$K110*Cruise!$L110)*1.025/O110</f>
        <v>7.8277195961445374</v>
      </c>
    </row>
    <row r="111" spans="1:50" x14ac:dyDescent="0.3">
      <c r="A111" s="199" t="s">
        <v>88</v>
      </c>
      <c r="B111" s="200">
        <v>2000</v>
      </c>
      <c r="C111" s="200"/>
      <c r="D111" s="200">
        <v>702</v>
      </c>
      <c r="E111" s="200"/>
      <c r="F111" s="200"/>
      <c r="G111" s="200"/>
      <c r="H111" s="200">
        <v>181</v>
      </c>
      <c r="I111" s="200">
        <f>IF(Cruise!$H111&gt;0,Cruise!$H111,Cruise!$F111)</f>
        <v>181</v>
      </c>
      <c r="J111" s="200"/>
      <c r="K111" s="200">
        <v>25.46</v>
      </c>
      <c r="L111" s="200">
        <v>5.8</v>
      </c>
      <c r="M111" s="200"/>
      <c r="N111" s="200"/>
      <c r="O111" s="200">
        <v>2700</v>
      </c>
      <c r="P111" s="200"/>
      <c r="Q111" s="200">
        <f t="shared" si="0"/>
        <v>0.71256717092149102</v>
      </c>
      <c r="R111" s="200">
        <f t="shared" si="1"/>
        <v>0.66063045950938581</v>
      </c>
      <c r="S111" s="200">
        <f t="shared" si="2"/>
        <v>0.67211340792604035</v>
      </c>
      <c r="T111" s="200">
        <f>(Cruise!$Q111+Cruise!$R111)/2</f>
        <v>0.68659881521543842</v>
      </c>
      <c r="U111" s="196">
        <f t="shared" si="4"/>
        <v>26727.907999999999</v>
      </c>
      <c r="V111" s="196">
        <f t="shared" si="5"/>
        <v>69.681478083926663</v>
      </c>
      <c r="W111" s="196">
        <f t="shared" si="6"/>
        <v>7.1091908876669283</v>
      </c>
      <c r="X111" s="196">
        <f t="shared" si="7"/>
        <v>4.3896551724137938</v>
      </c>
      <c r="Y111" s="196">
        <f t="shared" si="9"/>
        <v>31.206896551724139</v>
      </c>
      <c r="Z111" s="200"/>
      <c r="AA111" s="200"/>
      <c r="AB111" s="200">
        <v>18</v>
      </c>
      <c r="AC111" s="200">
        <f t="shared" ref="AC111:AC113" si="10">(AB111*0.512)</f>
        <v>9.2160000000000011</v>
      </c>
      <c r="AD111" s="196">
        <f t="shared" si="8"/>
        <v>0.21871001730863635</v>
      </c>
      <c r="AE111" s="204"/>
      <c r="AF111" s="200"/>
      <c r="AG111" s="200"/>
      <c r="AH111" s="200"/>
      <c r="AI111" s="200"/>
      <c r="AJ111" s="200"/>
      <c r="AK111" s="200"/>
      <c r="AL111" s="200"/>
      <c r="AM111" s="200"/>
      <c r="AN111" s="200"/>
      <c r="AO111" s="200"/>
      <c r="AP111" s="200"/>
      <c r="AQ111" s="200" t="s">
        <v>89</v>
      </c>
      <c r="AR111" s="200"/>
      <c r="AS111" s="200"/>
      <c r="AT111" s="200"/>
      <c r="AU111" s="200"/>
      <c r="AV111" s="200"/>
      <c r="AW111" s="205">
        <f>Cruise!$I111/(Cruise!$S111*Cruise!$I111*Cruise!$K111*Cruise!$L111)^(1/3)</f>
        <v>6.9110292737338535</v>
      </c>
      <c r="AX111">
        <f>(Cruise!$S111*Cruise!$I111*Cruise!$K111*Cruise!$L111)*1.025/O111</f>
        <v>6.8197370244181537</v>
      </c>
    </row>
    <row r="112" spans="1:50" x14ac:dyDescent="0.3">
      <c r="A112" s="194" t="s">
        <v>90</v>
      </c>
      <c r="B112" s="195">
        <v>2004</v>
      </c>
      <c r="C112" s="195"/>
      <c r="D112" s="195">
        <v>3782</v>
      </c>
      <c r="E112" s="195"/>
      <c r="F112" s="195"/>
      <c r="G112" s="195"/>
      <c r="H112" s="195">
        <v>290</v>
      </c>
      <c r="I112" s="195">
        <f>IF(Cruise!$H112&gt;0,Cruise!$H112,Cruise!$F112)</f>
        <v>290</v>
      </c>
      <c r="J112" s="195"/>
      <c r="K112" s="195">
        <v>36</v>
      </c>
      <c r="L112" s="195">
        <v>8</v>
      </c>
      <c r="M112" s="195"/>
      <c r="N112" s="195"/>
      <c r="O112" s="195">
        <v>11000</v>
      </c>
      <c r="P112" s="195"/>
      <c r="Q112" s="195">
        <f t="shared" si="0"/>
        <v>0.72521240958756583</v>
      </c>
      <c r="R112" s="195">
        <f t="shared" si="1"/>
        <v>0.69984296548588887</v>
      </c>
      <c r="S112" s="195">
        <f t="shared" si="2"/>
        <v>0.68638578490104174</v>
      </c>
      <c r="T112" s="195">
        <f>(Cruise!$Q112+Cruise!$R112)/2</f>
        <v>0.71252768753672735</v>
      </c>
      <c r="U112" s="196">
        <f t="shared" si="4"/>
        <v>83520</v>
      </c>
      <c r="V112" s="196">
        <f t="shared" si="5"/>
        <v>75.83209091279511</v>
      </c>
      <c r="W112" s="196">
        <f t="shared" si="6"/>
        <v>8.0555555555555554</v>
      </c>
      <c r="X112" s="196">
        <f t="shared" si="7"/>
        <v>4.5</v>
      </c>
      <c r="Y112" s="196">
        <f t="shared" si="9"/>
        <v>36.25</v>
      </c>
      <c r="Z112" s="195"/>
      <c r="AA112" s="195">
        <v>42000</v>
      </c>
      <c r="AB112" s="195">
        <v>22</v>
      </c>
      <c r="AC112" s="195">
        <f t="shared" si="10"/>
        <v>11.263999999999999</v>
      </c>
      <c r="AD112" s="196">
        <f t="shared" si="8"/>
        <v>0.21118308953121082</v>
      </c>
      <c r="AE112" s="197">
        <f>Cruise!$AA112/(Cruise!$AC112^3)</f>
        <v>29.38809025833967</v>
      </c>
      <c r="AF112" s="195"/>
      <c r="AG112" s="195"/>
      <c r="AH112" s="195"/>
      <c r="AI112" s="195"/>
      <c r="AJ112" s="195"/>
      <c r="AK112" s="195"/>
      <c r="AL112" s="195"/>
      <c r="AM112" s="195"/>
      <c r="AN112" s="195"/>
      <c r="AO112" s="195"/>
      <c r="AP112" s="195"/>
      <c r="AQ112" s="195" t="s">
        <v>91</v>
      </c>
      <c r="AR112" s="195"/>
      <c r="AS112" s="195"/>
      <c r="AT112" s="195"/>
      <c r="AU112" s="195"/>
      <c r="AV112" s="195"/>
      <c r="AW112" s="198">
        <f>Cruise!$I112/(Cruise!$S112*Cruise!$I112*Cruise!$K112*Cruise!$L112)^(1/3)</f>
        <v>7.5210488439346435</v>
      </c>
      <c r="AX112">
        <f>(Cruise!$S112*Cruise!$I112*Cruise!$K112*Cruise!$L112)*1.025/O112</f>
        <v>5.3418285703462161</v>
      </c>
    </row>
    <row r="113" spans="1:50" x14ac:dyDescent="0.3">
      <c r="A113" s="199" t="s">
        <v>92</v>
      </c>
      <c r="B113" s="200">
        <v>2012</v>
      </c>
      <c r="C113" s="200">
        <v>3690</v>
      </c>
      <c r="D113" s="200">
        <v>4631</v>
      </c>
      <c r="E113" s="200">
        <v>1386</v>
      </c>
      <c r="F113" s="200"/>
      <c r="G113" s="200"/>
      <c r="H113" s="200">
        <v>306</v>
      </c>
      <c r="I113" s="200">
        <f>IF(Cruise!$H113&gt;0,Cruise!$H113,Cruise!$F113)</f>
        <v>306</v>
      </c>
      <c r="J113" s="200"/>
      <c r="K113" s="200">
        <v>37</v>
      </c>
      <c r="L113" s="200">
        <v>8.1999999999999993</v>
      </c>
      <c r="M113" s="200"/>
      <c r="N113" s="200">
        <v>128500</v>
      </c>
      <c r="O113" s="200"/>
      <c r="P113" s="200">
        <v>0.7249258887632215</v>
      </c>
      <c r="Q113" s="200">
        <f t="shared" si="0"/>
        <v>0.72676271029428396</v>
      </c>
      <c r="R113" s="200">
        <f t="shared" si="1"/>
        <v>0.70726083116786609</v>
      </c>
      <c r="S113" s="200">
        <f t="shared" si="2"/>
        <v>0.6881916625992015</v>
      </c>
      <c r="T113" s="200">
        <f>(Cruise!$Q113+Cruise!$R113)/2</f>
        <v>0.71701177073107503</v>
      </c>
      <c r="U113" s="196">
        <f t="shared" si="4"/>
        <v>92840.4</v>
      </c>
      <c r="V113" s="196">
        <f t="shared" si="5"/>
        <v>77.175700183233971</v>
      </c>
      <c r="W113" s="196">
        <f t="shared" si="6"/>
        <v>8.2702702702702702</v>
      </c>
      <c r="X113" s="196">
        <f t="shared" si="7"/>
        <v>4.51219512195122</v>
      </c>
      <c r="Y113" s="196">
        <f t="shared" si="9"/>
        <v>37.31707317073171</v>
      </c>
      <c r="Z113" s="200"/>
      <c r="AA113" s="200"/>
      <c r="AB113" s="200">
        <v>22.5</v>
      </c>
      <c r="AC113" s="200">
        <f t="shared" si="10"/>
        <v>11.52</v>
      </c>
      <c r="AD113" s="196">
        <f t="shared" si="8"/>
        <v>0.21026029149149769</v>
      </c>
      <c r="AE113" s="204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5">
        <f>Cruise!$I113/(Cruise!$S113*Cruise!$I113*Cruise!$K113*Cruise!$L113)^(1/3)</f>
        <v>7.65430840236822</v>
      </c>
    </row>
    <row r="114" spans="1:50" x14ac:dyDescent="0.3">
      <c r="A114" s="194" t="s">
        <v>93</v>
      </c>
      <c r="B114" s="195">
        <v>2002</v>
      </c>
      <c r="C114" s="195"/>
      <c r="D114" s="195">
        <v>3700</v>
      </c>
      <c r="E114" s="195"/>
      <c r="F114" s="195"/>
      <c r="G114" s="195"/>
      <c r="H114" s="195">
        <v>290</v>
      </c>
      <c r="I114" s="195">
        <f>IF(Cruise!$H114&gt;0,Cruise!$H114,Cruise!$F114)</f>
        <v>290</v>
      </c>
      <c r="J114" s="195"/>
      <c r="K114" s="195">
        <v>35.5</v>
      </c>
      <c r="L114" s="195">
        <v>8.1999999999999993</v>
      </c>
      <c r="M114" s="195"/>
      <c r="N114" s="195"/>
      <c r="O114" s="195">
        <v>10000</v>
      </c>
      <c r="P114" s="195"/>
      <c r="Q114" s="195">
        <f t="shared" si="0"/>
        <v>0.74133911824267651</v>
      </c>
      <c r="R114" s="195">
        <f t="shared" si="1"/>
        <v>0.7248068675167233</v>
      </c>
      <c r="S114" s="195">
        <f t="shared" si="2"/>
        <v>0.70581407129095686</v>
      </c>
      <c r="T114" s="195">
        <f>(Cruise!$Q114+Cruise!$R114)/2</f>
        <v>0.73307299287969996</v>
      </c>
      <c r="U114" s="196">
        <f t="shared" si="4"/>
        <v>84418.999999999985</v>
      </c>
      <c r="V114" s="196">
        <f t="shared" si="5"/>
        <v>74.862176227752357</v>
      </c>
      <c r="W114" s="196">
        <f t="shared" si="6"/>
        <v>8.169014084507042</v>
      </c>
      <c r="X114" s="196">
        <f t="shared" si="7"/>
        <v>4.3292682926829276</v>
      </c>
      <c r="Y114" s="196">
        <f t="shared" si="9"/>
        <v>35.365853658536587</v>
      </c>
      <c r="Z114" s="195"/>
      <c r="AA114" s="195">
        <v>63400</v>
      </c>
      <c r="AB114" s="195">
        <v>21</v>
      </c>
      <c r="AC114" s="195">
        <f t="shared" ref="AC114:AC116" si="11">(AB114*0.512)</f>
        <v>10.752000000000001</v>
      </c>
      <c r="AD114" s="196">
        <f t="shared" si="8"/>
        <v>0.20158385818888308</v>
      </c>
      <c r="AE114" s="197">
        <f>Cruise!$AA114/(Cruise!$AC114^3)</f>
        <v>51.006026330306732</v>
      </c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 t="s">
        <v>91</v>
      </c>
      <c r="AR114" s="195"/>
      <c r="AS114" s="195"/>
      <c r="AT114" s="195"/>
      <c r="AU114" s="195"/>
      <c r="AV114" s="195"/>
      <c r="AW114" s="198">
        <f>Cruise!$I114/(Cruise!$S114*Cruise!$I114*Cruise!$K114*Cruise!$L114)^(1/3)</f>
        <v>7.4248524232260964</v>
      </c>
      <c r="AX114">
        <f>(Cruise!$S114*Cruise!$I114*Cruise!$K114*Cruise!$L114)*1.025/O114</f>
        <v>6.1073721036419064</v>
      </c>
    </row>
    <row r="115" spans="1:50" x14ac:dyDescent="0.3">
      <c r="A115" s="194" t="s">
        <v>94</v>
      </c>
      <c r="B115" s="195">
        <v>1996</v>
      </c>
      <c r="C115" s="195"/>
      <c r="D115" s="195">
        <v>3400</v>
      </c>
      <c r="E115" s="195"/>
      <c r="F115" s="195"/>
      <c r="G115" s="195"/>
      <c r="H115" s="195">
        <v>272</v>
      </c>
      <c r="I115" s="195">
        <f>IF(Cruise!$H115&gt;0,Cruise!$H115,Cruise!$F115)</f>
        <v>272</v>
      </c>
      <c r="J115" s="195"/>
      <c r="K115" s="195">
        <v>35.299999999999997</v>
      </c>
      <c r="L115" s="195">
        <v>8.1999999999999993</v>
      </c>
      <c r="M115" s="195"/>
      <c r="N115" s="195"/>
      <c r="O115" s="195">
        <v>11142</v>
      </c>
      <c r="P115" s="195"/>
      <c r="Q115" s="195">
        <f t="shared" si="0"/>
        <v>0.74696468944150829</v>
      </c>
      <c r="R115" s="195">
        <f t="shared" si="1"/>
        <v>0.72088275565606252</v>
      </c>
      <c r="S115" s="195">
        <f t="shared" si="2"/>
        <v>0.71294358167185501</v>
      </c>
      <c r="T115" s="195">
        <f>(Cruise!$Q115+Cruise!$R115)/2</f>
        <v>0.73392372254878535</v>
      </c>
      <c r="U115" s="196">
        <f t="shared" si="4"/>
        <v>78733.119999999981</v>
      </c>
      <c r="V115" s="196">
        <f t="shared" si="5"/>
        <v>71.626321986204346</v>
      </c>
      <c r="W115" s="196">
        <f t="shared" si="6"/>
        <v>7.7053824362606242</v>
      </c>
      <c r="X115" s="196">
        <f t="shared" si="7"/>
        <v>4.3048780487804876</v>
      </c>
      <c r="Y115" s="196">
        <f t="shared" si="9"/>
        <v>33.170731707317074</v>
      </c>
      <c r="Z115" s="195"/>
      <c r="AA115" s="195">
        <v>63400</v>
      </c>
      <c r="AB115" s="195">
        <v>20</v>
      </c>
      <c r="AC115" s="195">
        <f t="shared" si="11"/>
        <v>10.24</v>
      </c>
      <c r="AD115" s="196">
        <f t="shared" si="8"/>
        <v>0.19823530390386421</v>
      </c>
      <c r="AE115" s="197">
        <f>Cruise!$AA115/(Cruise!$AC115^3)</f>
        <v>59.045851230621331</v>
      </c>
      <c r="AF115" s="195"/>
      <c r="AG115" s="195"/>
      <c r="AH115" s="195"/>
      <c r="AI115" s="195"/>
      <c r="AJ115" s="195"/>
      <c r="AK115" s="195"/>
      <c r="AL115" s="195"/>
      <c r="AM115" s="195"/>
      <c r="AN115" s="195"/>
      <c r="AO115" s="195"/>
      <c r="AP115" s="195"/>
      <c r="AQ115" s="195" t="s">
        <v>91</v>
      </c>
      <c r="AR115" s="195"/>
      <c r="AS115" s="195"/>
      <c r="AT115" s="195"/>
      <c r="AU115" s="195"/>
      <c r="AV115" s="195"/>
      <c r="AW115" s="198">
        <f>Cruise!$I115/(Cruise!$S115*Cruise!$I115*Cruise!$K115*Cruise!$L115)^(1/3)</f>
        <v>7.1039194579129976</v>
      </c>
      <c r="AX115">
        <f>(Cruise!$S115*Cruise!$I115*Cruise!$K115*Cruise!$L115)*1.025/O115</f>
        <v>5.1638466508010179</v>
      </c>
    </row>
    <row r="116" spans="1:50" x14ac:dyDescent="0.3">
      <c r="A116" s="199" t="s">
        <v>95</v>
      </c>
      <c r="B116" s="200">
        <v>2009</v>
      </c>
      <c r="C116" s="200">
        <v>3646</v>
      </c>
      <c r="D116" s="200">
        <v>4631</v>
      </c>
      <c r="E116" s="200">
        <v>1369</v>
      </c>
      <c r="F116" s="200"/>
      <c r="G116" s="200"/>
      <c r="H116" s="200">
        <v>306</v>
      </c>
      <c r="I116" s="200">
        <f>IF(Cruise!$H116&gt;0,Cruise!$H116,Cruise!$F116)</f>
        <v>306</v>
      </c>
      <c r="J116" s="200"/>
      <c r="K116" s="200">
        <v>48</v>
      </c>
      <c r="L116" s="200"/>
      <c r="M116" s="200"/>
      <c r="N116" s="200">
        <v>128251</v>
      </c>
      <c r="O116" s="200"/>
      <c r="P116" s="200">
        <v>0.7249258887632215</v>
      </c>
      <c r="Q116" s="200">
        <f t="shared" si="0"/>
        <v>0.72676271029428396</v>
      </c>
      <c r="R116" s="200">
        <f t="shared" si="1"/>
        <v>0.65984528070357673</v>
      </c>
      <c r="S116" s="200">
        <f t="shared" si="2"/>
        <v>0.6881916625992015</v>
      </c>
      <c r="T116" s="200">
        <f>(Cruise!$Q116+Cruise!$R116)/2</f>
        <v>0.6933039954989304</v>
      </c>
      <c r="U116" s="196"/>
      <c r="V116" s="196"/>
      <c r="W116" s="196">
        <f t="shared" si="6"/>
        <v>6.375</v>
      </c>
      <c r="X116" s="196"/>
      <c r="Y116" s="196"/>
      <c r="Z116" s="200"/>
      <c r="AA116" s="200"/>
      <c r="AB116" s="200">
        <v>22.5</v>
      </c>
      <c r="AC116" s="200">
        <f t="shared" si="11"/>
        <v>11.52</v>
      </c>
      <c r="AD116" s="196">
        <f t="shared" si="8"/>
        <v>0.21026029149149769</v>
      </c>
      <c r="AE116" s="204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0"/>
      <c r="AS116" s="200"/>
      <c r="AT116" s="200"/>
      <c r="AU116" s="200"/>
      <c r="AV116" s="200"/>
      <c r="AW116" s="205"/>
    </row>
    <row r="117" spans="1:50" x14ac:dyDescent="0.3">
      <c r="A117" s="211" t="s">
        <v>95</v>
      </c>
      <c r="B117" s="195"/>
      <c r="C117" s="195"/>
      <c r="D117" s="195"/>
      <c r="E117" s="195"/>
      <c r="F117" s="212">
        <v>308</v>
      </c>
      <c r="G117" s="212">
        <v>308</v>
      </c>
      <c r="H117" s="212">
        <v>308</v>
      </c>
      <c r="I117" s="196">
        <f>IF(Cruise!$H117&gt;0,Cruise!$H117,Cruise!$F117)</f>
        <v>308</v>
      </c>
      <c r="J117" s="195"/>
      <c r="K117" s="212">
        <v>41</v>
      </c>
      <c r="L117" s="212">
        <v>8.1999999999999993</v>
      </c>
      <c r="M117" s="195"/>
      <c r="N117" s="213">
        <v>128251</v>
      </c>
      <c r="O117" s="206">
        <v>13815</v>
      </c>
      <c r="P117" s="195"/>
      <c r="Q117" s="196">
        <f t="shared" si="0"/>
        <v>0.65517093659811154</v>
      </c>
      <c r="R117" s="196">
        <f t="shared" si="1"/>
        <v>0.60861563567349186</v>
      </c>
      <c r="S117" s="196">
        <f t="shared" si="2"/>
        <v>0.61605686456693931</v>
      </c>
      <c r="T117" s="196">
        <f>(Cruise!$Q117+Cruise!$R117)/2</f>
        <v>0.63189328613580176</v>
      </c>
      <c r="U117" s="196">
        <f t="shared" si="4"/>
        <v>103549.59999999999</v>
      </c>
      <c r="V117" s="196">
        <f t="shared" si="5"/>
        <v>77.720501816808309</v>
      </c>
      <c r="W117" s="196">
        <f t="shared" si="6"/>
        <v>7.5121951219512191</v>
      </c>
      <c r="X117" s="196">
        <f t="shared" si="7"/>
        <v>5</v>
      </c>
      <c r="Y117" s="196">
        <f t="shared" si="9"/>
        <v>37.560975609756099</v>
      </c>
      <c r="Z117" s="196" t="e">
        <f>Cruise!$I117/Cruise!$J117</f>
        <v>#DIV/0!</v>
      </c>
      <c r="AA117" s="195"/>
      <c r="AB117" s="195"/>
      <c r="AC117" s="214">
        <v>13.9</v>
      </c>
      <c r="AD117" s="196">
        <f t="shared" si="8"/>
        <v>0.25287444250112412</v>
      </c>
      <c r="AE117" s="197">
        <f>Cruise!$AA117/(Cruise!$AC117^3)</f>
        <v>0</v>
      </c>
      <c r="AF117" s="195"/>
      <c r="AG117" s="195"/>
      <c r="AH117" s="195"/>
      <c r="AI117" s="195"/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  <c r="AW117" s="215">
        <f>Cruise!$I117/(Cruise!$S117*Cruise!$I117*Cruise!$K117*Cruise!$L117)^(1/3)</f>
        <v>7.708341986923867</v>
      </c>
      <c r="AX117">
        <f>(Cruise!$S117*Cruise!$I117*Cruise!$K117*Cruise!$L117)*1.025/O117</f>
        <v>4.733062102840373</v>
      </c>
    </row>
    <row r="118" spans="1:50" x14ac:dyDescent="0.3">
      <c r="A118" s="199" t="s">
        <v>96</v>
      </c>
      <c r="B118" s="200">
        <v>1991</v>
      </c>
      <c r="C118" s="200"/>
      <c r="D118" s="200">
        <v>2594</v>
      </c>
      <c r="E118" s="200"/>
      <c r="F118" s="200"/>
      <c r="G118" s="200"/>
      <c r="H118" s="200">
        <v>260.60000000000002</v>
      </c>
      <c r="I118" s="200">
        <f>IF(Cruise!$H118&gt;0,Cruise!$H118,Cruise!$F118)</f>
        <v>260.60000000000002</v>
      </c>
      <c r="J118" s="200"/>
      <c r="K118" s="200">
        <v>31.4</v>
      </c>
      <c r="L118" s="200">
        <v>7.9</v>
      </c>
      <c r="M118" s="200"/>
      <c r="N118" s="200"/>
      <c r="O118" s="200">
        <v>7200</v>
      </c>
      <c r="P118" s="200"/>
      <c r="Q118" s="200">
        <f t="shared" si="0"/>
        <v>0.72274622376390529</v>
      </c>
      <c r="R118" s="200">
        <f t="shared" si="1"/>
        <v>0.7026722208458327</v>
      </c>
      <c r="S118" s="200">
        <f t="shared" si="2"/>
        <v>0.68353890185766608</v>
      </c>
      <c r="T118" s="200">
        <f>(Cruise!$Q118+Cruise!$R118)/2</f>
        <v>0.71270922230486899</v>
      </c>
      <c r="U118" s="196">
        <f t="shared" si="4"/>
        <v>64644.436000000002</v>
      </c>
      <c r="V118" s="196">
        <f t="shared" si="5"/>
        <v>74.322031288039895</v>
      </c>
      <c r="W118" s="196">
        <f t="shared" si="6"/>
        <v>8.2993630573248414</v>
      </c>
      <c r="X118" s="196">
        <f t="shared" si="7"/>
        <v>3.9746835443037969</v>
      </c>
      <c r="Y118" s="196">
        <f t="shared" si="9"/>
        <v>32.9873417721519</v>
      </c>
      <c r="Z118" s="200"/>
      <c r="AA118" s="200">
        <v>42240</v>
      </c>
      <c r="AB118" s="200">
        <v>21</v>
      </c>
      <c r="AC118" s="200">
        <f t="shared" ref="AC118:AC121" si="12">(AB118*0.512)</f>
        <v>10.752000000000001</v>
      </c>
      <c r="AD118" s="196">
        <f t="shared" si="8"/>
        <v>0.21265105728338976</v>
      </c>
      <c r="AE118" s="204">
        <f>Cruise!$AA118/(Cruise!$AC118^3)</f>
        <v>33.98256391470278</v>
      </c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 t="s">
        <v>91</v>
      </c>
      <c r="AR118" s="200"/>
      <c r="AS118" s="200"/>
      <c r="AT118" s="200"/>
      <c r="AU118" s="200"/>
      <c r="AV118" s="200"/>
      <c r="AW118" s="205">
        <f>Cruise!$I118/(Cruise!$S118*Cruise!$I118*Cruise!$K118*Cruise!$L118)^(1/3)</f>
        <v>7.3712806909227702</v>
      </c>
      <c r="AX118">
        <f>(Cruise!$S118*Cruise!$I118*Cruise!$K118*Cruise!$L118)*1.025/O118</f>
        <v>6.2905085367381091</v>
      </c>
    </row>
    <row r="119" spans="1:50" x14ac:dyDescent="0.3">
      <c r="A119" s="194" t="s">
        <v>97</v>
      </c>
      <c r="B119" s="195">
        <v>2007</v>
      </c>
      <c r="C119" s="195"/>
      <c r="D119" s="195">
        <v>3700</v>
      </c>
      <c r="E119" s="195"/>
      <c r="F119" s="195"/>
      <c r="G119" s="195"/>
      <c r="H119" s="195">
        <v>290</v>
      </c>
      <c r="I119" s="195">
        <f>IF(Cruise!$H119&gt;0,Cruise!$H119,Cruise!$F119)</f>
        <v>290</v>
      </c>
      <c r="J119" s="195"/>
      <c r="K119" s="195">
        <v>32.200000000000003</v>
      </c>
      <c r="L119" s="195">
        <v>8.3000000000000007</v>
      </c>
      <c r="M119" s="195"/>
      <c r="N119" s="195"/>
      <c r="O119" s="195">
        <v>11000</v>
      </c>
      <c r="P119" s="195"/>
      <c r="Q119" s="195">
        <f t="shared" si="0"/>
        <v>0.74133911824267651</v>
      </c>
      <c r="R119" s="195">
        <f t="shared" si="1"/>
        <v>0.74634848777180107</v>
      </c>
      <c r="S119" s="195">
        <f t="shared" si="2"/>
        <v>0.70581407129095686</v>
      </c>
      <c r="T119" s="195">
        <f>(Cruise!$Q119+Cruise!$R119)/2</f>
        <v>0.74384380300723874</v>
      </c>
      <c r="U119" s="196">
        <f t="shared" si="4"/>
        <v>77505.400000000009</v>
      </c>
      <c r="V119" s="196">
        <f t="shared" si="5"/>
        <v>77.025027421350089</v>
      </c>
      <c r="W119" s="196">
        <f t="shared" si="6"/>
        <v>9.0062111801242235</v>
      </c>
      <c r="X119" s="196">
        <f t="shared" si="7"/>
        <v>3.8795180722891565</v>
      </c>
      <c r="Y119" s="196">
        <f t="shared" si="9"/>
        <v>34.939759036144572</v>
      </c>
      <c r="Z119" s="195"/>
      <c r="AA119" s="195">
        <v>63400</v>
      </c>
      <c r="AB119" s="195">
        <v>21</v>
      </c>
      <c r="AC119" s="195">
        <f t="shared" si="12"/>
        <v>10.752000000000001</v>
      </c>
      <c r="AD119" s="196">
        <f t="shared" si="8"/>
        <v>0.20158385818888308</v>
      </c>
      <c r="AE119" s="197">
        <f>Cruise!$AA119/(Cruise!$AC119^3)</f>
        <v>51.006026330306732</v>
      </c>
      <c r="AF119" s="195"/>
      <c r="AG119" s="195"/>
      <c r="AH119" s="195"/>
      <c r="AI119" s="195"/>
      <c r="AJ119" s="195"/>
      <c r="AK119" s="195"/>
      <c r="AL119" s="195"/>
      <c r="AM119" s="195"/>
      <c r="AN119" s="195"/>
      <c r="AO119" s="195"/>
      <c r="AP119" s="195"/>
      <c r="AQ119" s="195" t="s">
        <v>91</v>
      </c>
      <c r="AR119" s="195"/>
      <c r="AS119" s="195"/>
      <c r="AT119" s="195"/>
      <c r="AU119" s="195"/>
      <c r="AV119" s="195"/>
      <c r="AW119" s="198">
        <f>Cruise!$I119/(Cruise!$S119*Cruise!$I119*Cruise!$K119*Cruise!$L119)^(1/3)</f>
        <v>7.6393646339986727</v>
      </c>
      <c r="AX119">
        <f>(Cruise!$S119*Cruise!$I119*Cruise!$K119*Cruise!$L119)*1.025/O119</f>
        <v>5.0974556335509078</v>
      </c>
    </row>
    <row r="120" spans="1:50" x14ac:dyDescent="0.3">
      <c r="A120" s="199" t="s">
        <v>98</v>
      </c>
      <c r="B120" s="200">
        <v>2002</v>
      </c>
      <c r="C120" s="200"/>
      <c r="D120" s="200">
        <v>2680</v>
      </c>
      <c r="E120" s="200"/>
      <c r="F120" s="200"/>
      <c r="G120" s="200"/>
      <c r="H120" s="200">
        <v>292.5</v>
      </c>
      <c r="I120" s="200">
        <f>IF(Cruise!$H120&gt;0,Cruise!$H120,Cruise!$F120)</f>
        <v>292.5</v>
      </c>
      <c r="J120" s="200"/>
      <c r="K120" s="200">
        <v>32.200000000000003</v>
      </c>
      <c r="L120" s="200">
        <v>7.8</v>
      </c>
      <c r="M120" s="200"/>
      <c r="N120" s="200"/>
      <c r="O120" s="200">
        <v>7089</v>
      </c>
      <c r="P120" s="200"/>
      <c r="Q120" s="200">
        <f t="shared" si="0"/>
        <v>0.72673184950499747</v>
      </c>
      <c r="R120" s="200">
        <f t="shared" si="1"/>
        <v>0.72757247836958006</v>
      </c>
      <c r="S120" s="200">
        <f t="shared" si="2"/>
        <v>0.68815559055205378</v>
      </c>
      <c r="T120" s="200">
        <f>(Cruise!$Q120+Cruise!$R120)/2</f>
        <v>0.72715216393728876</v>
      </c>
      <c r="U120" s="196">
        <f t="shared" si="4"/>
        <v>73464.3</v>
      </c>
      <c r="V120" s="196">
        <f t="shared" si="5"/>
        <v>79.758962575554563</v>
      </c>
      <c r="W120" s="196">
        <f t="shared" si="6"/>
        <v>9.0838509316770182</v>
      </c>
      <c r="X120" s="196">
        <f t="shared" si="7"/>
        <v>4.1282051282051286</v>
      </c>
      <c r="Y120" s="196">
        <f t="shared" si="9"/>
        <v>37.5</v>
      </c>
      <c r="Z120" s="200"/>
      <c r="AA120" s="200">
        <v>35200</v>
      </c>
      <c r="AB120" s="200">
        <v>22</v>
      </c>
      <c r="AC120" s="200">
        <f t="shared" si="12"/>
        <v>11.263999999999999</v>
      </c>
      <c r="AD120" s="196">
        <f t="shared" si="8"/>
        <v>0.21027866100893008</v>
      </c>
      <c r="AE120" s="204">
        <f>Cruise!$AA120/(Cruise!$AC120^3)</f>
        <v>24.630018502227536</v>
      </c>
      <c r="AF120" s="200"/>
      <c r="AG120" s="200"/>
      <c r="AH120" s="200"/>
      <c r="AI120" s="200"/>
      <c r="AJ120" s="200"/>
      <c r="AK120" s="200"/>
      <c r="AL120" s="200"/>
      <c r="AM120" s="200"/>
      <c r="AN120" s="200"/>
      <c r="AO120" s="200"/>
      <c r="AP120" s="200"/>
      <c r="AQ120" s="200" t="s">
        <v>91</v>
      </c>
      <c r="AR120" s="200"/>
      <c r="AS120" s="200"/>
      <c r="AT120" s="200"/>
      <c r="AU120" s="200"/>
      <c r="AV120" s="200"/>
      <c r="AW120" s="205">
        <f>Cruise!$I120/(Cruise!$S120*Cruise!$I120*Cruise!$K120*Cruise!$L120)^(1/3)</f>
        <v>7.9105171181701506</v>
      </c>
      <c r="AX120">
        <f>(Cruise!$S120*Cruise!$I120*Cruise!$K120*Cruise!$L120)*1.025/O120</f>
        <v>7.3097390985707538</v>
      </c>
    </row>
    <row r="121" spans="1:50" x14ac:dyDescent="0.3">
      <c r="A121" s="194" t="s">
        <v>99</v>
      </c>
      <c r="B121" s="195">
        <v>2011</v>
      </c>
      <c r="C121" s="195">
        <v>3646</v>
      </c>
      <c r="D121" s="195">
        <v>4631</v>
      </c>
      <c r="E121" s="195">
        <v>1367</v>
      </c>
      <c r="F121" s="195"/>
      <c r="G121" s="195"/>
      <c r="H121" s="195">
        <v>306</v>
      </c>
      <c r="I121" s="195">
        <f>IF(Cruise!$H121&gt;0,Cruise!$H121,Cruise!$F121)</f>
        <v>306</v>
      </c>
      <c r="J121" s="195"/>
      <c r="K121" s="195">
        <v>48</v>
      </c>
      <c r="L121" s="195">
        <v>8.3000000000000007</v>
      </c>
      <c r="M121" s="195"/>
      <c r="N121" s="195">
        <v>128048</v>
      </c>
      <c r="O121" s="195"/>
      <c r="P121" s="195">
        <v>0.7249258887632215</v>
      </c>
      <c r="Q121" s="195">
        <f t="shared" si="0"/>
        <v>0.72676271029428396</v>
      </c>
      <c r="R121" s="195">
        <f t="shared" si="1"/>
        <v>0.65984528070357673</v>
      </c>
      <c r="S121" s="195">
        <f t="shared" si="2"/>
        <v>0.6881916625992015</v>
      </c>
      <c r="T121" s="195">
        <f>(Cruise!$Q121+Cruise!$R121)/2</f>
        <v>0.6933039954989304</v>
      </c>
      <c r="U121" s="196">
        <f t="shared" si="4"/>
        <v>121910.40000000001</v>
      </c>
      <c r="V121" s="196">
        <f t="shared" si="5"/>
        <v>70.476770336658944</v>
      </c>
      <c r="W121" s="196">
        <f t="shared" si="6"/>
        <v>6.375</v>
      </c>
      <c r="X121" s="196">
        <f t="shared" si="7"/>
        <v>5.783132530120481</v>
      </c>
      <c r="Y121" s="196">
        <f t="shared" si="9"/>
        <v>36.867469879518069</v>
      </c>
      <c r="Z121" s="195"/>
      <c r="AA121" s="195"/>
      <c r="AB121" s="195">
        <v>22.5</v>
      </c>
      <c r="AC121" s="195">
        <f t="shared" si="12"/>
        <v>11.52</v>
      </c>
      <c r="AD121" s="196">
        <f t="shared" si="8"/>
        <v>0.21026029149149769</v>
      </c>
      <c r="AE121" s="197"/>
      <c r="AF121" s="195"/>
      <c r="AG121" s="195"/>
      <c r="AH121" s="195"/>
      <c r="AI121" s="195"/>
      <c r="AJ121" s="195"/>
      <c r="AK121" s="195">
        <v>17</v>
      </c>
      <c r="AL121" s="195">
        <v>14</v>
      </c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  <c r="AW121" s="198">
        <f>Cruise!$I121/(Cruise!$S121*Cruise!$I121*Cruise!$K121*Cruise!$L121)^(1/3)</f>
        <v>6.9899065907905653</v>
      </c>
    </row>
    <row r="122" spans="1:50" x14ac:dyDescent="0.3">
      <c r="A122" s="207" t="s">
        <v>99</v>
      </c>
      <c r="B122" s="200"/>
      <c r="C122" s="200"/>
      <c r="D122" s="200"/>
      <c r="E122" s="200"/>
      <c r="F122" s="201">
        <v>305</v>
      </c>
      <c r="G122" s="201">
        <v>305</v>
      </c>
      <c r="H122" s="201">
        <v>305</v>
      </c>
      <c r="I122" s="203">
        <f>IF(Cruise!$H122&gt;0,Cruise!$H122,Cruise!$F122)</f>
        <v>305</v>
      </c>
      <c r="J122" s="200"/>
      <c r="K122" s="201">
        <v>37</v>
      </c>
      <c r="L122" s="201">
        <v>8.4</v>
      </c>
      <c r="M122" s="200"/>
      <c r="N122" s="208">
        <v>128048</v>
      </c>
      <c r="O122" s="202">
        <v>13800</v>
      </c>
      <c r="P122" s="200"/>
      <c r="Q122" s="203">
        <f t="shared" si="0"/>
        <v>0.58858903701021448</v>
      </c>
      <c r="R122" s="203">
        <f t="shared" ref="R122:R141" si="13">(0.23/AD122^(2/3))*((I122/K122)+20)/26</f>
        <v>0.56699428513961192</v>
      </c>
      <c r="S122" s="203">
        <f t="shared" si="2"/>
        <v>0.56452402400554225</v>
      </c>
      <c r="T122" s="203">
        <f>(Cruise!$Q122+Cruise!$R122)/2</f>
        <v>0.5777916610749132</v>
      </c>
      <c r="U122" s="196">
        <f t="shared" si="4"/>
        <v>94794</v>
      </c>
      <c r="V122" s="196">
        <f t="shared" si="5"/>
        <v>81.60561369252882</v>
      </c>
      <c r="W122" s="196">
        <f t="shared" si="6"/>
        <v>8.2432432432432439</v>
      </c>
      <c r="X122" s="196">
        <f t="shared" si="7"/>
        <v>4.4047619047619042</v>
      </c>
      <c r="Y122" s="196">
        <f t="shared" si="9"/>
        <v>36.30952380952381</v>
      </c>
      <c r="Z122" s="203" t="e">
        <f>Cruise!$I122/Cruise!$J122</f>
        <v>#DIV/0!</v>
      </c>
      <c r="AA122" s="200"/>
      <c r="AB122" s="200"/>
      <c r="AC122" s="209">
        <v>16</v>
      </c>
      <c r="AD122" s="196">
        <f t="shared" si="8"/>
        <v>0.29250652558915807</v>
      </c>
      <c r="AE122" s="204">
        <f>Cruise!$AA122/(Cruise!$AC122^3)</f>
        <v>0</v>
      </c>
      <c r="AF122" s="200"/>
      <c r="AG122" s="200"/>
      <c r="AH122" s="200"/>
      <c r="AI122" s="200"/>
      <c r="AJ122" s="200"/>
      <c r="AK122" s="200"/>
      <c r="AL122" s="200"/>
      <c r="AM122" s="200"/>
      <c r="AN122" s="204"/>
      <c r="AO122" s="204"/>
      <c r="AP122" s="200"/>
      <c r="AQ122" s="200"/>
      <c r="AR122" s="200"/>
      <c r="AS122" s="200"/>
      <c r="AT122" s="200"/>
      <c r="AU122" s="200"/>
      <c r="AV122" s="200"/>
      <c r="AW122" s="210">
        <f>Cruise!$I122/(Cruise!$S122*Cruise!$I122*Cruise!$K122*Cruise!$L122)^(1/3)</f>
        <v>8.0936685133287209</v>
      </c>
      <c r="AX122">
        <f>(Cruise!$S122*Cruise!$I122*Cruise!$K122*Cruise!$L122)*1.025/O122</f>
        <v>3.9747338833239789</v>
      </c>
    </row>
    <row r="123" spans="1:50" x14ac:dyDescent="0.3">
      <c r="A123" s="194" t="s">
        <v>100</v>
      </c>
      <c r="B123" s="195">
        <v>2016</v>
      </c>
      <c r="C123" s="195"/>
      <c r="D123" s="195">
        <v>3934</v>
      </c>
      <c r="E123" s="195">
        <v>1450</v>
      </c>
      <c r="F123" s="195">
        <v>324</v>
      </c>
      <c r="G123" s="195"/>
      <c r="H123" s="195"/>
      <c r="I123" s="195">
        <f>IF(Cruise!$H123&gt;0,Cruise!$H123,Cruise!$F123)</f>
        <v>324</v>
      </c>
      <c r="J123" s="195"/>
      <c r="K123" s="195">
        <v>37</v>
      </c>
      <c r="L123" s="195">
        <v>8.1999999999999993</v>
      </c>
      <c r="M123" s="195"/>
      <c r="N123" s="195">
        <v>133500</v>
      </c>
      <c r="O123" s="195">
        <v>13415</v>
      </c>
      <c r="P123" s="195"/>
      <c r="Q123" s="195">
        <f t="shared" si="0"/>
        <v>0.7244974529830297</v>
      </c>
      <c r="R123" s="195">
        <f t="shared" si="13"/>
        <v>0.71637227372347112</v>
      </c>
      <c r="S123" s="195">
        <f t="shared" si="2"/>
        <v>0.68555721088638755</v>
      </c>
      <c r="T123" s="195">
        <f>(Cruise!$Q123+Cruise!$R123)/2</f>
        <v>0.72043486335325047</v>
      </c>
      <c r="U123" s="196">
        <f t="shared" si="4"/>
        <v>98301.599999999991</v>
      </c>
      <c r="V123" s="196">
        <f t="shared" si="5"/>
        <v>80.275841852480895</v>
      </c>
      <c r="W123" s="196">
        <f t="shared" si="6"/>
        <v>8.7567567567567561</v>
      </c>
      <c r="X123" s="196">
        <f t="shared" si="7"/>
        <v>4.51219512195122</v>
      </c>
      <c r="Y123" s="196">
        <f t="shared" si="9"/>
        <v>39.512195121951223</v>
      </c>
      <c r="Z123" s="195"/>
      <c r="AA123" s="195"/>
      <c r="AB123" s="195"/>
      <c r="AC123" s="195">
        <v>11.93</v>
      </c>
      <c r="AD123" s="196">
        <f t="shared" si="8"/>
        <v>0.21160865893867289</v>
      </c>
      <c r="AE123" s="197">
        <f>Cruise!$AA123/(Cruise!$AC123^3)</f>
        <v>0</v>
      </c>
      <c r="AF123" s="195"/>
      <c r="AG123" s="195"/>
      <c r="AH123" s="195"/>
      <c r="AI123" s="195"/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  <c r="AW123" s="198">
        <f>Cruise!$I123/(Cruise!$S123*Cruise!$I123*Cruise!$K123*Cruise!$L123)^(1/3)</f>
        <v>7.9617813552680232</v>
      </c>
      <c r="AX123">
        <f>(Cruise!$S123*Cruise!$I123*Cruise!$K123*Cruise!$L123)*1.025/O123</f>
        <v>5.1491729399710042</v>
      </c>
    </row>
    <row r="124" spans="1:50" x14ac:dyDescent="0.3">
      <c r="A124" s="199" t="s">
        <v>101</v>
      </c>
      <c r="B124" s="200">
        <v>1995</v>
      </c>
      <c r="C124" s="200"/>
      <c r="D124" s="200">
        <v>2150</v>
      </c>
      <c r="E124" s="200"/>
      <c r="F124" s="200"/>
      <c r="G124" s="200"/>
      <c r="H124" s="200">
        <v>246</v>
      </c>
      <c r="I124" s="200">
        <f>IF(Cruise!$H124&gt;0,Cruise!$H124,Cruise!$F124)</f>
        <v>246</v>
      </c>
      <c r="J124" s="200"/>
      <c r="K124" s="200">
        <v>32.200000000000003</v>
      </c>
      <c r="L124" s="200">
        <v>7.5</v>
      </c>
      <c r="M124" s="200"/>
      <c r="N124" s="200"/>
      <c r="O124" s="200">
        <v>7260</v>
      </c>
      <c r="P124" s="200"/>
      <c r="Q124" s="200">
        <f t="shared" si="0"/>
        <v>0.70354276737083854</v>
      </c>
      <c r="R124" s="200">
        <f t="shared" si="13"/>
        <v>0.66275200037093052</v>
      </c>
      <c r="S124" s="200">
        <f t="shared" si="2"/>
        <v>0.66239942375571903</v>
      </c>
      <c r="T124" s="200">
        <f>(Cruise!$Q124+Cruise!$R124)/2</f>
        <v>0.68314738387088458</v>
      </c>
      <c r="U124" s="196">
        <f t="shared" si="4"/>
        <v>59409.000000000007</v>
      </c>
      <c r="V124" s="196">
        <f t="shared" si="5"/>
        <v>72.920952505702019</v>
      </c>
      <c r="W124" s="196">
        <f t="shared" si="6"/>
        <v>7.6397515527950306</v>
      </c>
      <c r="X124" s="196">
        <f t="shared" si="7"/>
        <v>4.2933333333333339</v>
      </c>
      <c r="Y124" s="196">
        <f t="shared" si="9"/>
        <v>32.799999999999997</v>
      </c>
      <c r="Z124" s="200"/>
      <c r="AA124" s="200">
        <v>29250</v>
      </c>
      <c r="AB124" s="200">
        <v>21.5</v>
      </c>
      <c r="AC124" s="200">
        <f t="shared" ref="AC124:AC127" si="14">(AB124*0.512)</f>
        <v>11.008000000000001</v>
      </c>
      <c r="AD124" s="196">
        <f t="shared" si="8"/>
        <v>0.22408168608878659</v>
      </c>
      <c r="AE124" s="204">
        <f>Cruise!$AA124/(Cruise!$AC124^3)</f>
        <v>21.928080039244033</v>
      </c>
      <c r="AF124" s="200"/>
      <c r="AG124" s="200"/>
      <c r="AH124" s="200"/>
      <c r="AI124" s="200"/>
      <c r="AJ124" s="200"/>
      <c r="AK124" s="200"/>
      <c r="AL124" s="200"/>
      <c r="AM124" s="200"/>
      <c r="AN124" s="200"/>
      <c r="AO124" s="200"/>
      <c r="AP124" s="200"/>
      <c r="AQ124" s="200" t="s">
        <v>91</v>
      </c>
      <c r="AR124" s="200"/>
      <c r="AS124" s="200"/>
      <c r="AT124" s="200"/>
      <c r="AU124" s="200"/>
      <c r="AV124" s="200"/>
      <c r="AW124" s="205">
        <f>Cruise!$I124/(Cruise!$S124*Cruise!$I124*Cruise!$K124*Cruise!$L124)^(1/3)</f>
        <v>7.2323212895753697</v>
      </c>
      <c r="AX124">
        <f>(Cruise!$S124*Cruise!$I124*Cruise!$K124*Cruise!$L124)*1.025/O124</f>
        <v>5.5559641253513918</v>
      </c>
    </row>
    <row r="125" spans="1:50" x14ac:dyDescent="0.3">
      <c r="A125" s="194" t="s">
        <v>102</v>
      </c>
      <c r="B125" s="195">
        <v>1996</v>
      </c>
      <c r="C125" s="195"/>
      <c r="D125" s="195">
        <v>2681</v>
      </c>
      <c r="E125" s="195"/>
      <c r="F125" s="195"/>
      <c r="G125" s="195"/>
      <c r="H125" s="195">
        <v>263.89999999999998</v>
      </c>
      <c r="I125" s="195">
        <f>IF(Cruise!$H125&gt;0,Cruise!$H125,Cruise!$F125)</f>
        <v>263.89999999999998</v>
      </c>
      <c r="J125" s="195"/>
      <c r="K125" s="195">
        <v>32.200000000000003</v>
      </c>
      <c r="L125" s="195">
        <v>7.7</v>
      </c>
      <c r="M125" s="195"/>
      <c r="N125" s="195"/>
      <c r="O125" s="195">
        <v>6500</v>
      </c>
      <c r="P125" s="195"/>
      <c r="Q125" s="195">
        <f t="shared" si="0"/>
        <v>0.71653424078823091</v>
      </c>
      <c r="R125" s="195">
        <f t="shared" si="13"/>
        <v>0.69209729374394557</v>
      </c>
      <c r="S125" s="195">
        <f t="shared" si="2"/>
        <v>0.67650534288205733</v>
      </c>
      <c r="T125" s="195">
        <f>(Cruise!$Q125+Cruise!$R125)/2</f>
        <v>0.70431576726608824</v>
      </c>
      <c r="U125" s="196">
        <f t="shared" si="4"/>
        <v>65431.366000000002</v>
      </c>
      <c r="V125" s="196">
        <f t="shared" si="5"/>
        <v>75.219124234356244</v>
      </c>
      <c r="W125" s="196">
        <f t="shared" si="6"/>
        <v>8.1956521739130412</v>
      </c>
      <c r="X125" s="196">
        <f t="shared" si="7"/>
        <v>4.1818181818181817</v>
      </c>
      <c r="Y125" s="196">
        <f t="shared" si="9"/>
        <v>34.272727272727266</v>
      </c>
      <c r="Z125" s="195"/>
      <c r="AA125" s="195">
        <v>31500</v>
      </c>
      <c r="AB125" s="195">
        <v>21.5</v>
      </c>
      <c r="AC125" s="195">
        <f t="shared" si="14"/>
        <v>11.008000000000001</v>
      </c>
      <c r="AD125" s="196">
        <f t="shared" si="8"/>
        <v>0.21634866619748164</v>
      </c>
      <c r="AE125" s="197">
        <f>Cruise!$AA125/(Cruise!$AC125^3)</f>
        <v>23.61485542687819</v>
      </c>
      <c r="AF125" s="195"/>
      <c r="AG125" s="195"/>
      <c r="AH125" s="195"/>
      <c r="AI125" s="195"/>
      <c r="AJ125" s="195"/>
      <c r="AK125" s="195"/>
      <c r="AL125" s="195"/>
      <c r="AM125" s="195"/>
      <c r="AN125" s="195"/>
      <c r="AO125" s="195"/>
      <c r="AP125" s="195"/>
      <c r="AQ125" s="195" t="s">
        <v>91</v>
      </c>
      <c r="AR125" s="195"/>
      <c r="AS125" s="195"/>
      <c r="AT125" s="195"/>
      <c r="AU125" s="195"/>
      <c r="AV125" s="195"/>
      <c r="AW125" s="198">
        <f>Cruise!$I125/(Cruise!$S125*Cruise!$I125*Cruise!$K125*Cruise!$L125)^(1/3)</f>
        <v>7.4602546303932478</v>
      </c>
      <c r="AX125">
        <f>(Cruise!$S125*Cruise!$I125*Cruise!$K125*Cruise!$L125)*1.025/O125</f>
        <v>6.9801977551304866</v>
      </c>
    </row>
    <row r="126" spans="1:50" x14ac:dyDescent="0.3">
      <c r="A126" s="199" t="s">
        <v>103</v>
      </c>
      <c r="B126" s="200">
        <v>2012</v>
      </c>
      <c r="C126" s="200"/>
      <c r="D126" s="200">
        <v>3046</v>
      </c>
      <c r="E126" s="200">
        <v>1500</v>
      </c>
      <c r="F126" s="200">
        <v>319</v>
      </c>
      <c r="G126" s="200"/>
      <c r="H126" s="200"/>
      <c r="I126" s="200">
        <f>IF(Cruise!$H126&gt;0,Cruise!$H126,Cruise!$F126)</f>
        <v>319</v>
      </c>
      <c r="J126" s="200"/>
      <c r="K126" s="200">
        <v>37.4</v>
      </c>
      <c r="L126" s="200">
        <v>8.6</v>
      </c>
      <c r="M126" s="200"/>
      <c r="N126" s="200">
        <v>125366</v>
      </c>
      <c r="O126" s="200">
        <v>9500</v>
      </c>
      <c r="P126" s="200"/>
      <c r="Q126" s="200">
        <f t="shared" si="0"/>
        <v>0.82321723638180466</v>
      </c>
      <c r="R126" s="200">
        <f t="shared" si="13"/>
        <v>0.88282830172780813</v>
      </c>
      <c r="S126" s="200">
        <f t="shared" si="2"/>
        <v>0.8333161755356191</v>
      </c>
      <c r="T126" s="200">
        <f>(Cruise!$Q126+Cruise!$R126)/2</f>
        <v>0.85302276905480645</v>
      </c>
      <c r="U126" s="196">
        <f t="shared" si="4"/>
        <v>102603.16</v>
      </c>
      <c r="V126" s="196">
        <f t="shared" si="5"/>
        <v>73.008785163167616</v>
      </c>
      <c r="W126" s="196">
        <f t="shared" si="6"/>
        <v>8.5294117647058822</v>
      </c>
      <c r="X126" s="196">
        <f t="shared" si="7"/>
        <v>4.3488372093023253</v>
      </c>
      <c r="Y126" s="196">
        <f t="shared" si="9"/>
        <v>37.093023255813954</v>
      </c>
      <c r="Z126" s="200"/>
      <c r="AA126" s="200">
        <v>62400</v>
      </c>
      <c r="AB126" s="200">
        <v>16.7</v>
      </c>
      <c r="AC126" s="200">
        <f t="shared" si="14"/>
        <v>8.5503999999999998</v>
      </c>
      <c r="AD126" s="196">
        <f t="shared" si="8"/>
        <v>0.15284688310606867</v>
      </c>
      <c r="AE126" s="204">
        <f>Cruise!$AA126/(Cruise!$AC126^3)</f>
        <v>99.821776200486582</v>
      </c>
      <c r="AF126" s="200"/>
      <c r="AG126" s="200"/>
      <c r="AH126" s="200"/>
      <c r="AI126" s="200"/>
      <c r="AJ126" s="200"/>
      <c r="AK126" s="200"/>
      <c r="AL126" s="200"/>
      <c r="AM126" s="200"/>
      <c r="AN126" s="200"/>
      <c r="AO126" s="200"/>
      <c r="AP126" s="200"/>
      <c r="AQ126" s="200"/>
      <c r="AR126" s="200"/>
      <c r="AS126" s="200"/>
      <c r="AT126" s="200"/>
      <c r="AU126" s="200"/>
      <c r="AV126" s="200"/>
      <c r="AW126" s="205">
        <f>Cruise!$I126/(Cruise!$S126*Cruise!$I126*Cruise!$K126*Cruise!$L126)^(1/3)</f>
        <v>7.2410325581021873</v>
      </c>
      <c r="AX126">
        <f>(Cruise!$S126*Cruise!$I126*Cruise!$K126*Cruise!$L126)*1.025/O126</f>
        <v>9.2250941801364128</v>
      </c>
    </row>
    <row r="127" spans="1:50" x14ac:dyDescent="0.3">
      <c r="A127" s="194" t="s">
        <v>103</v>
      </c>
      <c r="B127" s="195">
        <v>2012</v>
      </c>
      <c r="C127" s="195">
        <v>3030</v>
      </c>
      <c r="D127" s="195"/>
      <c r="E127" s="195"/>
      <c r="F127" s="195"/>
      <c r="G127" s="195"/>
      <c r="H127" s="195">
        <v>315</v>
      </c>
      <c r="I127" s="195">
        <f>IF(Cruise!$H127&gt;0,Cruise!$H127,Cruise!$F127)</f>
        <v>315</v>
      </c>
      <c r="J127" s="195"/>
      <c r="K127" s="195">
        <v>38</v>
      </c>
      <c r="L127" s="195">
        <v>8.1999999999999993</v>
      </c>
      <c r="M127" s="195"/>
      <c r="N127" s="195">
        <v>126000</v>
      </c>
      <c r="O127" s="195"/>
      <c r="P127" s="195">
        <v>0.70670414416138283</v>
      </c>
      <c r="Q127" s="195">
        <f t="shared" si="0"/>
        <v>0.70863522796547218</v>
      </c>
      <c r="R127" s="195">
        <f t="shared" si="13"/>
        <v>0.68451831760610515</v>
      </c>
      <c r="S127" s="195">
        <f t="shared" si="2"/>
        <v>0.66783459251287769</v>
      </c>
      <c r="T127" s="195">
        <f>(Cruise!$Q127+Cruise!$R127)/2</f>
        <v>0.69657677278578867</v>
      </c>
      <c r="U127" s="196">
        <f t="shared" si="4"/>
        <v>98153.999999999985</v>
      </c>
      <c r="V127" s="196">
        <f t="shared" si="5"/>
        <v>78.769762802555263</v>
      </c>
      <c r="W127" s="196">
        <f t="shared" si="6"/>
        <v>8.2894736842105257</v>
      </c>
      <c r="X127" s="196">
        <f t="shared" si="7"/>
        <v>4.6341463414634152</v>
      </c>
      <c r="Y127" s="196">
        <f t="shared" si="9"/>
        <v>38.41463414634147</v>
      </c>
      <c r="Z127" s="195"/>
      <c r="AA127" s="195"/>
      <c r="AB127" s="195">
        <v>24</v>
      </c>
      <c r="AC127" s="195">
        <f t="shared" si="14"/>
        <v>12.288</v>
      </c>
      <c r="AD127" s="196">
        <f t="shared" si="8"/>
        <v>0.22105045954436184</v>
      </c>
      <c r="AE127" s="197"/>
      <c r="AF127" s="195"/>
      <c r="AG127" s="195"/>
      <c r="AH127" s="195"/>
      <c r="AI127" s="195"/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  <c r="AW127" s="198">
        <f>Cruise!$I127/(Cruise!$S127*Cruise!$I127*Cruise!$K127*Cruise!$L127)^(1/3)</f>
        <v>7.8124079968260949</v>
      </c>
    </row>
    <row r="128" spans="1:50" x14ac:dyDescent="0.3">
      <c r="A128" s="207" t="s">
        <v>103</v>
      </c>
      <c r="B128" s="200"/>
      <c r="C128" s="200"/>
      <c r="D128" s="200"/>
      <c r="E128" s="200"/>
      <c r="F128" s="201">
        <v>319</v>
      </c>
      <c r="G128" s="201">
        <v>319</v>
      </c>
      <c r="H128" s="201">
        <v>319</v>
      </c>
      <c r="I128" s="203">
        <f>IF(Cruise!$H128&gt;0,Cruise!$H128,Cruise!$F128)</f>
        <v>319</v>
      </c>
      <c r="J128" s="200"/>
      <c r="K128" s="201">
        <v>48</v>
      </c>
      <c r="L128" s="201">
        <v>8.6</v>
      </c>
      <c r="M128" s="200"/>
      <c r="N128" s="208">
        <v>125366</v>
      </c>
      <c r="O128" s="202">
        <v>9500</v>
      </c>
      <c r="P128" s="200"/>
      <c r="Q128" s="203">
        <f t="shared" si="0"/>
        <v>0.57246483145262206</v>
      </c>
      <c r="R128" s="203">
        <f t="shared" si="13"/>
        <v>0.52353520242118301</v>
      </c>
      <c r="S128" s="203">
        <f t="shared" si="2"/>
        <v>0.55369378470845942</v>
      </c>
      <c r="T128" s="203">
        <f>(Cruise!$Q128+Cruise!$R128)/2</f>
        <v>0.54800001693690259</v>
      </c>
      <c r="U128" s="196">
        <f t="shared" si="4"/>
        <v>131683.19999999998</v>
      </c>
      <c r="V128" s="196">
        <f t="shared" si="5"/>
        <v>76.989582544350199</v>
      </c>
      <c r="W128" s="196">
        <f t="shared" si="6"/>
        <v>6.645833333333333</v>
      </c>
      <c r="X128" s="196">
        <f t="shared" si="7"/>
        <v>5.5813953488372094</v>
      </c>
      <c r="Y128" s="196">
        <f t="shared" si="9"/>
        <v>37.093023255813954</v>
      </c>
      <c r="Z128" s="203" t="e">
        <f>Cruise!$I128/Cruise!$J128</f>
        <v>#DIV/0!</v>
      </c>
      <c r="AA128" s="200"/>
      <c r="AB128" s="200"/>
      <c r="AC128" s="209">
        <v>16.899999999999999</v>
      </c>
      <c r="AD128" s="196">
        <f t="shared" si="8"/>
        <v>0.30210426699248694</v>
      </c>
      <c r="AE128" s="204">
        <f>Cruise!$AA128/(Cruise!$AC128^3)</f>
        <v>0</v>
      </c>
      <c r="AF128" s="200"/>
      <c r="AG128" s="200"/>
      <c r="AH128" s="200"/>
      <c r="AI128" s="200"/>
      <c r="AJ128" s="200"/>
      <c r="AK128" s="200"/>
      <c r="AL128" s="200"/>
      <c r="AM128" s="200"/>
      <c r="AN128" s="200"/>
      <c r="AO128" s="200"/>
      <c r="AP128" s="200"/>
      <c r="AQ128" s="200"/>
      <c r="AR128" s="200"/>
      <c r="AS128" s="200"/>
      <c r="AT128" s="200"/>
      <c r="AU128" s="200"/>
      <c r="AV128" s="200"/>
      <c r="AW128" s="210">
        <f>Cruise!$I128/(Cruise!$S128*Cruise!$I128*Cruise!$K128*Cruise!$L128)^(1/3)</f>
        <v>7.6358492007833298</v>
      </c>
      <c r="AX128">
        <f>(Cruise!$S128*Cruise!$I128*Cruise!$K128*Cruise!$L128)*1.025/O128</f>
        <v>7.8668393289772656</v>
      </c>
    </row>
    <row r="129" spans="1:50" x14ac:dyDescent="0.3">
      <c r="A129" s="194" t="s">
        <v>104</v>
      </c>
      <c r="B129" s="195">
        <v>2011</v>
      </c>
      <c r="C129" s="195">
        <v>2886</v>
      </c>
      <c r="D129" s="195"/>
      <c r="E129" s="195">
        <v>1500</v>
      </c>
      <c r="F129" s="195"/>
      <c r="G129" s="195"/>
      <c r="H129" s="195">
        <v>315</v>
      </c>
      <c r="I129" s="195">
        <f>IF(Cruise!$H129&gt;0,Cruise!$H129,Cruise!$F129)</f>
        <v>315</v>
      </c>
      <c r="J129" s="195"/>
      <c r="K129" s="195">
        <v>37</v>
      </c>
      <c r="L129" s="195"/>
      <c r="M129" s="195"/>
      <c r="N129" s="195">
        <v>122210</v>
      </c>
      <c r="O129" s="195"/>
      <c r="P129" s="195">
        <v>0.69115015016810721</v>
      </c>
      <c r="Q129" s="195">
        <f t="shared" si="0"/>
        <v>0.69316169579736686</v>
      </c>
      <c r="R129" s="195">
        <f t="shared" si="13"/>
        <v>0.67141612037703091</v>
      </c>
      <c r="S129" s="195">
        <f t="shared" si="2"/>
        <v>0.65167588547738287</v>
      </c>
      <c r="T129" s="195">
        <f>(Cruise!$Q129+Cruise!$R129)/2</f>
        <v>0.68228890808719889</v>
      </c>
      <c r="U129" s="196"/>
      <c r="V129" s="196"/>
      <c r="W129" s="196">
        <f t="shared" si="6"/>
        <v>8.513513513513514</v>
      </c>
      <c r="X129" s="196"/>
      <c r="Y129" s="196"/>
      <c r="Z129" s="195"/>
      <c r="AA129" s="195"/>
      <c r="AB129" s="195">
        <v>25</v>
      </c>
      <c r="AC129" s="195">
        <f>(AB129*0.512)</f>
        <v>12.8</v>
      </c>
      <c r="AD129" s="196">
        <f t="shared" si="8"/>
        <v>0.23026089535871025</v>
      </c>
      <c r="AE129" s="197"/>
      <c r="AF129" s="195"/>
      <c r="AG129" s="195"/>
      <c r="AH129" s="195"/>
      <c r="AI129" s="195"/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  <c r="AW129" s="198"/>
    </row>
    <row r="130" spans="1:50" x14ac:dyDescent="0.3">
      <c r="A130" s="207" t="s">
        <v>104</v>
      </c>
      <c r="B130" s="200"/>
      <c r="C130" s="200"/>
      <c r="D130" s="200"/>
      <c r="E130" s="200"/>
      <c r="F130" s="201">
        <v>319</v>
      </c>
      <c r="G130" s="201">
        <v>319</v>
      </c>
      <c r="H130" s="201">
        <v>319</v>
      </c>
      <c r="I130" s="203">
        <f>IF(Cruise!$H130&gt;0,Cruise!$H130,Cruise!$F130)</f>
        <v>319</v>
      </c>
      <c r="J130" s="200"/>
      <c r="K130" s="201">
        <v>48</v>
      </c>
      <c r="L130" s="201">
        <v>8.6</v>
      </c>
      <c r="M130" s="200"/>
      <c r="N130" s="208">
        <v>122210</v>
      </c>
      <c r="O130" s="202">
        <v>9500</v>
      </c>
      <c r="P130" s="200"/>
      <c r="Q130" s="203">
        <f t="shared" si="0"/>
        <v>0.60249649823057339</v>
      </c>
      <c r="R130" s="203">
        <f t="shared" si="13"/>
        <v>0.5452624731694401</v>
      </c>
      <c r="S130" s="203">
        <f t="shared" si="2"/>
        <v>0.57433250543902237</v>
      </c>
      <c r="T130" s="203">
        <f>(Cruise!$Q130+Cruise!$R130)/2</f>
        <v>0.57387948570000669</v>
      </c>
      <c r="U130" s="196">
        <f t="shared" si="4"/>
        <v>131683.19999999998</v>
      </c>
      <c r="V130" s="196">
        <f t="shared" si="5"/>
        <v>76.056099441142663</v>
      </c>
      <c r="W130" s="196">
        <f t="shared" si="6"/>
        <v>6.645833333333333</v>
      </c>
      <c r="X130" s="196">
        <f t="shared" si="7"/>
        <v>5.5813953488372094</v>
      </c>
      <c r="Y130" s="196">
        <f t="shared" si="9"/>
        <v>37.093023255813954</v>
      </c>
      <c r="Z130" s="203" t="e">
        <f>Cruise!$I130/Cruise!$J130</f>
        <v>#DIV/0!</v>
      </c>
      <c r="AA130" s="200"/>
      <c r="AB130" s="200"/>
      <c r="AC130" s="209">
        <v>15.9</v>
      </c>
      <c r="AD130" s="196">
        <f t="shared" si="8"/>
        <v>0.28422827486275404</v>
      </c>
      <c r="AE130" s="204">
        <f>Cruise!$AA130/(Cruise!$AC130^3)</f>
        <v>0</v>
      </c>
      <c r="AF130" s="200"/>
      <c r="AG130" s="200"/>
      <c r="AH130" s="200"/>
      <c r="AI130" s="200"/>
      <c r="AJ130" s="200"/>
      <c r="AK130" s="200"/>
      <c r="AL130" s="200"/>
      <c r="AM130" s="200"/>
      <c r="AN130" s="204"/>
      <c r="AO130" s="204"/>
      <c r="AP130" s="200"/>
      <c r="AQ130" s="200"/>
      <c r="AR130" s="200"/>
      <c r="AS130" s="200"/>
      <c r="AT130" s="200"/>
      <c r="AU130" s="200"/>
      <c r="AV130" s="200"/>
      <c r="AW130" s="210">
        <f>Cruise!$I130/(Cruise!$S130*Cruise!$I130*Cruise!$K130*Cruise!$L130)^(1/3)</f>
        <v>7.5432660749628244</v>
      </c>
      <c r="AX130">
        <f>(Cruise!$S130*Cruise!$I130*Cruise!$K130*Cruise!$L130)*1.025/O130</f>
        <v>8.160072708919321</v>
      </c>
    </row>
    <row r="131" spans="1:50" x14ac:dyDescent="0.3">
      <c r="A131" s="194" t="s">
        <v>105</v>
      </c>
      <c r="B131" s="195">
        <v>2001</v>
      </c>
      <c r="C131" s="195"/>
      <c r="D131" s="195">
        <v>96</v>
      </c>
      <c r="E131" s="195">
        <v>68</v>
      </c>
      <c r="F131" s="195"/>
      <c r="G131" s="195">
        <v>78</v>
      </c>
      <c r="H131" s="195">
        <v>88.5</v>
      </c>
      <c r="I131" s="195">
        <f>IF(Cruise!$H131&gt;0,Cruise!$H131,Cruise!$F131)</f>
        <v>88.5</v>
      </c>
      <c r="J131" s="195"/>
      <c r="K131" s="195">
        <v>14.8</v>
      </c>
      <c r="L131" s="195">
        <v>3.52</v>
      </c>
      <c r="M131" s="195">
        <v>1710</v>
      </c>
      <c r="N131" s="195">
        <v>2842</v>
      </c>
      <c r="O131" s="195">
        <v>340</v>
      </c>
      <c r="P131" s="195"/>
      <c r="Q131" s="195">
        <f t="shared" si="0"/>
        <v>0.64211067019946211</v>
      </c>
      <c r="R131" s="195">
        <f t="shared" si="13"/>
        <v>0.56322993562132706</v>
      </c>
      <c r="S131" s="195">
        <f t="shared" si="2"/>
        <v>0.60496564928644458</v>
      </c>
      <c r="T131" s="195">
        <f>(Cruise!$Q131+Cruise!$R131)/2</f>
        <v>0.60267030291039458</v>
      </c>
      <c r="U131" s="196">
        <f t="shared" si="4"/>
        <v>4610.4960000000001</v>
      </c>
      <c r="V131" s="196">
        <f t="shared" si="5"/>
        <v>63.390635275241621</v>
      </c>
      <c r="W131" s="196">
        <f t="shared" si="6"/>
        <v>5.9797297297297298</v>
      </c>
      <c r="X131" s="196">
        <f t="shared" si="7"/>
        <v>4.204545454545455</v>
      </c>
      <c r="Y131" s="196">
        <f t="shared" si="9"/>
        <v>25.142045454545453</v>
      </c>
      <c r="Z131" s="195"/>
      <c r="AA131" s="195">
        <v>3700</v>
      </c>
      <c r="AB131" s="195">
        <v>15</v>
      </c>
      <c r="AC131" s="195">
        <f t="shared" ref="AC131:AC145" si="15">(AB131*0.512)</f>
        <v>7.68</v>
      </c>
      <c r="AD131" s="196">
        <f t="shared" si="8"/>
        <v>0.26064841059555832</v>
      </c>
      <c r="AE131" s="197">
        <f>Cruise!$AA131/(Cruise!$AC131^3)</f>
        <v>8.1680439136646417</v>
      </c>
      <c r="AF131" s="195"/>
      <c r="AG131" s="195"/>
      <c r="AH131" s="195"/>
      <c r="AI131" s="195"/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  <c r="AW131" s="198">
        <f>Cruise!$I131/(Cruise!$S131*Cruise!$I131*Cruise!$K131*Cruise!$L131)^(1/3)</f>
        <v>6.287101653327805</v>
      </c>
      <c r="AX131">
        <f>(Cruise!$S131*Cruise!$I131*Cruise!$K131*Cruise!$L131)*1.025/O131</f>
        <v>8.4085926436084417</v>
      </c>
    </row>
    <row r="132" spans="1:50" x14ac:dyDescent="0.3">
      <c r="A132" s="199" t="s">
        <v>106</v>
      </c>
      <c r="B132" s="200">
        <v>2000</v>
      </c>
      <c r="C132" s="200"/>
      <c r="D132" s="200">
        <v>2500</v>
      </c>
      <c r="E132" s="200"/>
      <c r="F132" s="200"/>
      <c r="G132" s="200"/>
      <c r="H132" s="200">
        <v>191</v>
      </c>
      <c r="I132" s="200">
        <f>IF(Cruise!$H132&gt;0,Cruise!$H132,Cruise!$F132)</f>
        <v>191</v>
      </c>
      <c r="J132" s="200">
        <v>14.65</v>
      </c>
      <c r="K132" s="200">
        <v>35.840000000000003</v>
      </c>
      <c r="L132" s="200">
        <v>6.6</v>
      </c>
      <c r="M132" s="200"/>
      <c r="N132" s="200"/>
      <c r="O132" s="200">
        <v>4228</v>
      </c>
      <c r="P132" s="200"/>
      <c r="Q132" s="200">
        <f t="shared" si="0"/>
        <v>0.65276530348738993</v>
      </c>
      <c r="R132" s="200">
        <f t="shared" si="13"/>
        <v>0.55821972237073958</v>
      </c>
      <c r="S132" s="200">
        <f t="shared" si="2"/>
        <v>0.61397321337533872</v>
      </c>
      <c r="T132" s="200">
        <f>(Cruise!$Q132+Cruise!$R132)/2</f>
        <v>0.6054925129290647</v>
      </c>
      <c r="U132" s="196">
        <f t="shared" si="4"/>
        <v>45179.904000000002</v>
      </c>
      <c r="V132" s="196">
        <f t="shared" si="5"/>
        <v>63.617472846952531</v>
      </c>
      <c r="W132" s="196">
        <f t="shared" si="6"/>
        <v>5.3292410714285712</v>
      </c>
      <c r="X132" s="196">
        <f t="shared" si="7"/>
        <v>5.4303030303030315</v>
      </c>
      <c r="Y132" s="196">
        <f t="shared" si="9"/>
        <v>28.939393939393941</v>
      </c>
      <c r="Z132" s="200">
        <f>Cruise!$I132/Cruise!$J132</f>
        <v>13.03754266211604</v>
      </c>
      <c r="AA132" s="200">
        <v>30000</v>
      </c>
      <c r="AB132" s="200">
        <v>21.5</v>
      </c>
      <c r="AC132" s="200">
        <f t="shared" si="15"/>
        <v>11.008000000000001</v>
      </c>
      <c r="AD132" s="196">
        <f t="shared" si="8"/>
        <v>0.25430636697179176</v>
      </c>
      <c r="AE132" s="204">
        <f>Cruise!$AA132/(Cruise!$AC132^3)</f>
        <v>22.490338501788752</v>
      </c>
      <c r="AF132" s="200"/>
      <c r="AG132" s="200"/>
      <c r="AH132" s="200"/>
      <c r="AI132" s="200"/>
      <c r="AJ132" s="200" t="s">
        <v>107</v>
      </c>
      <c r="AK132" s="200"/>
      <c r="AL132" s="200"/>
      <c r="AM132" s="200"/>
      <c r="AN132" s="200"/>
      <c r="AO132" s="200"/>
      <c r="AP132" s="200"/>
      <c r="AQ132" s="200" t="s">
        <v>89</v>
      </c>
      <c r="AR132" s="200"/>
      <c r="AS132" s="200"/>
      <c r="AT132" s="200"/>
      <c r="AU132" s="200"/>
      <c r="AV132" s="200"/>
      <c r="AW132" s="205">
        <f>Cruise!$I132/(Cruise!$S132*Cruise!$I132*Cruise!$K132*Cruise!$L132)^(1/3)</f>
        <v>6.3095994697000197</v>
      </c>
      <c r="AX132">
        <f>(Cruise!$S132*Cruise!$I132*Cruise!$K132*Cruise!$L132)*1.025/O132</f>
        <v>6.7248656835007221</v>
      </c>
    </row>
    <row r="133" spans="1:50" x14ac:dyDescent="0.3">
      <c r="A133" s="194" t="s">
        <v>108</v>
      </c>
      <c r="B133" s="195">
        <v>1998</v>
      </c>
      <c r="C133" s="195"/>
      <c r="D133" s="195">
        <v>122</v>
      </c>
      <c r="E133" s="195">
        <v>84</v>
      </c>
      <c r="F133" s="195"/>
      <c r="G133" s="195"/>
      <c r="H133" s="195">
        <v>100.01</v>
      </c>
      <c r="I133" s="195">
        <f>IF(Cruise!$H133&gt;0,Cruise!$H133,Cruise!$F133)</f>
        <v>100.01</v>
      </c>
      <c r="J133" s="195"/>
      <c r="K133" s="195">
        <v>16.239999999999998</v>
      </c>
      <c r="L133" s="195">
        <v>4.6500000000000004</v>
      </c>
      <c r="M133" s="195"/>
      <c r="N133" s="195">
        <v>5750</v>
      </c>
      <c r="O133" s="195">
        <v>1465</v>
      </c>
      <c r="P133" s="195"/>
      <c r="Q133" s="195">
        <f t="shared" si="0"/>
        <v>0.750462933443097</v>
      </c>
      <c r="R133" s="195">
        <f t="shared" si="13"/>
        <v>0.68543540718866025</v>
      </c>
      <c r="S133" s="195">
        <f t="shared" si="2"/>
        <v>0.71747499572363271</v>
      </c>
      <c r="T133" s="195">
        <f>(Cruise!$Q133+Cruise!$R133)/2</f>
        <v>0.71794917031587868</v>
      </c>
      <c r="U133" s="196">
        <f t="shared" si="4"/>
        <v>7552.3551600000001</v>
      </c>
      <c r="V133" s="196">
        <f t="shared" si="5"/>
        <v>57.410102721875937</v>
      </c>
      <c r="W133" s="196">
        <f t="shared" si="6"/>
        <v>6.1582512315270943</v>
      </c>
      <c r="X133" s="196">
        <f t="shared" si="7"/>
        <v>3.4924731182795692</v>
      </c>
      <c r="Y133" s="196">
        <f t="shared" si="9"/>
        <v>21.50752688172043</v>
      </c>
      <c r="Z133" s="195"/>
      <c r="AA133" s="195">
        <v>3884</v>
      </c>
      <c r="AB133" s="195">
        <v>12</v>
      </c>
      <c r="AC133" s="195">
        <f t="shared" si="15"/>
        <v>6.1440000000000001</v>
      </c>
      <c r="AD133" s="196">
        <f t="shared" si="8"/>
        <v>0.19615301580768041</v>
      </c>
      <c r="AE133" s="197">
        <f>Cruise!$AA133/(Cruise!$AC133^3)</f>
        <v>16.74655962873388</v>
      </c>
      <c r="AF133" s="195"/>
      <c r="AG133" s="195"/>
      <c r="AH133" s="195"/>
      <c r="AI133" s="195"/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5"/>
      <c r="AT133" s="195"/>
      <c r="AU133" s="195"/>
      <c r="AV133" s="195"/>
      <c r="AW133" s="198">
        <f>Cruise!$I133/(Cruise!$S133*Cruise!$I133*Cruise!$K133*Cruise!$L133)^(1/3)</f>
        <v>5.6939506943448857</v>
      </c>
      <c r="AX133">
        <f>(Cruise!$S133*Cruise!$I133*Cruise!$K133*Cruise!$L133)*1.025/O133</f>
        <v>3.7911888298822278</v>
      </c>
    </row>
    <row r="134" spans="1:50" x14ac:dyDescent="0.3">
      <c r="A134" s="199" t="s">
        <v>109</v>
      </c>
      <c r="B134" s="200">
        <v>1989</v>
      </c>
      <c r="C134" s="200"/>
      <c r="D134" s="200">
        <v>128</v>
      </c>
      <c r="E134" s="200"/>
      <c r="F134" s="200"/>
      <c r="G134" s="200">
        <v>92</v>
      </c>
      <c r="H134" s="200">
        <v>104</v>
      </c>
      <c r="I134" s="200">
        <f>IF(Cruise!$H134&gt;0,Cruise!$H134,Cruise!$F134)</f>
        <v>104</v>
      </c>
      <c r="J134" s="200"/>
      <c r="K134" s="200">
        <v>16</v>
      </c>
      <c r="L134" s="200">
        <v>4.5</v>
      </c>
      <c r="M134" s="200"/>
      <c r="N134" s="200">
        <v>5218</v>
      </c>
      <c r="O134" s="200">
        <v>938</v>
      </c>
      <c r="P134" s="200"/>
      <c r="Q134" s="200">
        <f t="shared" si="0"/>
        <v>0.70298719148542088</v>
      </c>
      <c r="R134" s="200">
        <f t="shared" si="13"/>
        <v>0.63479838488005336</v>
      </c>
      <c r="S134" s="200">
        <f t="shared" si="2"/>
        <v>0.66181357360615745</v>
      </c>
      <c r="T134" s="200">
        <f>(Cruise!$Q134+Cruise!$R134)/2</f>
        <v>0.66889278818273712</v>
      </c>
      <c r="U134" s="196">
        <f t="shared" si="4"/>
        <v>7488</v>
      </c>
      <c r="V134" s="196">
        <f t="shared" si="5"/>
        <v>61.504580280009563</v>
      </c>
      <c r="W134" s="196">
        <f t="shared" si="6"/>
        <v>6.5</v>
      </c>
      <c r="X134" s="196">
        <f t="shared" si="7"/>
        <v>3.5555555555555554</v>
      </c>
      <c r="Y134" s="196">
        <f t="shared" si="9"/>
        <v>23.111111111111111</v>
      </c>
      <c r="Z134" s="200"/>
      <c r="AA134" s="200">
        <v>7060</v>
      </c>
      <c r="AB134" s="200">
        <v>14</v>
      </c>
      <c r="AC134" s="200">
        <f t="shared" si="15"/>
        <v>7.1680000000000001</v>
      </c>
      <c r="AD134" s="196">
        <f t="shared" si="8"/>
        <v>0.22441238602058289</v>
      </c>
      <c r="AE134" s="204">
        <f>Cruise!$AA134/(Cruise!$AC134^3)</f>
        <v>19.169496725321508</v>
      </c>
      <c r="AF134" s="200"/>
      <c r="AG134" s="200"/>
      <c r="AH134" s="200"/>
      <c r="AI134" s="200"/>
      <c r="AJ134" s="200"/>
      <c r="AK134" s="200"/>
      <c r="AL134" s="200"/>
      <c r="AM134" s="200"/>
      <c r="AN134" s="200"/>
      <c r="AO134" s="200"/>
      <c r="AP134" s="200"/>
      <c r="AQ134" s="200"/>
      <c r="AR134" s="200"/>
      <c r="AS134" s="200"/>
      <c r="AT134" s="200"/>
      <c r="AU134" s="200"/>
      <c r="AV134" s="200"/>
      <c r="AW134" s="205">
        <f>Cruise!$I134/(Cruise!$S134*Cruise!$I134*Cruise!$K134*Cruise!$L134)^(1/3)</f>
        <v>6.1000421700570637</v>
      </c>
      <c r="AX134">
        <f>(Cruise!$S134*Cruise!$I134*Cruise!$K134*Cruise!$L134)*1.025/O134</f>
        <v>5.4153001494050956</v>
      </c>
    </row>
    <row r="135" spans="1:50" x14ac:dyDescent="0.3">
      <c r="A135" s="194" t="s">
        <v>109</v>
      </c>
      <c r="B135" s="195">
        <v>1989</v>
      </c>
      <c r="C135" s="195"/>
      <c r="D135" s="195">
        <v>128</v>
      </c>
      <c r="E135" s="195"/>
      <c r="F135" s="195"/>
      <c r="G135" s="195">
        <v>92</v>
      </c>
      <c r="H135" s="195">
        <v>104</v>
      </c>
      <c r="I135" s="195">
        <f>IF(Cruise!$H135&gt;0,Cruise!$H135,Cruise!$F135)</f>
        <v>104</v>
      </c>
      <c r="J135" s="195"/>
      <c r="K135" s="195">
        <v>16</v>
      </c>
      <c r="L135" s="195">
        <v>4.5</v>
      </c>
      <c r="M135" s="195"/>
      <c r="N135" s="195">
        <v>5218</v>
      </c>
      <c r="O135" s="195">
        <v>938</v>
      </c>
      <c r="P135" s="195"/>
      <c r="Q135" s="196">
        <f t="shared" si="0"/>
        <v>0.70298719148542088</v>
      </c>
      <c r="R135" s="196">
        <f t="shared" si="13"/>
        <v>0.63479838488005336</v>
      </c>
      <c r="S135" s="196">
        <f t="shared" si="2"/>
        <v>0.66181357360615745</v>
      </c>
      <c r="T135" s="196">
        <f>(Cruise!$Q135+Cruise!$R135)/2</f>
        <v>0.66889278818273712</v>
      </c>
      <c r="U135" s="196">
        <f t="shared" si="4"/>
        <v>7488</v>
      </c>
      <c r="V135" s="196">
        <f t="shared" si="5"/>
        <v>61.504580280009563</v>
      </c>
      <c r="W135" s="196">
        <f t="shared" si="6"/>
        <v>6.5</v>
      </c>
      <c r="X135" s="196">
        <f t="shared" si="7"/>
        <v>3.5555555555555554</v>
      </c>
      <c r="Y135" s="196">
        <f t="shared" si="9"/>
        <v>23.111111111111111</v>
      </c>
      <c r="Z135" s="196" t="e">
        <f>Cruise!$I135/Cruise!$J135</f>
        <v>#DIV/0!</v>
      </c>
      <c r="AA135" s="195">
        <v>7060</v>
      </c>
      <c r="AB135" s="195">
        <v>14</v>
      </c>
      <c r="AC135" s="196">
        <f t="shared" si="15"/>
        <v>7.1680000000000001</v>
      </c>
      <c r="AD135" s="196">
        <f t="shared" si="8"/>
        <v>0.22441238602058289</v>
      </c>
      <c r="AE135" s="197" t="e">
        <f>Cruise!#REF!/(Cruise!#REF!^3)</f>
        <v>#REF!</v>
      </c>
      <c r="AF135" s="195"/>
      <c r="AG135" s="195"/>
      <c r="AH135" s="195"/>
      <c r="AI135" s="195"/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95"/>
      <c r="AW135" s="198">
        <f>Cruise!$I135/(Cruise!$S135*Cruise!$I135*Cruise!$K135*Cruise!$L135)^(1/3)</f>
        <v>6.1000421700570637</v>
      </c>
      <c r="AX135">
        <f>(Cruise!$S135*Cruise!$I135*Cruise!$K135*Cruise!$L135)*1.025/O135</f>
        <v>5.4153001494050956</v>
      </c>
    </row>
    <row r="136" spans="1:50" x14ac:dyDescent="0.3">
      <c r="A136" s="199" t="s">
        <v>110</v>
      </c>
      <c r="B136" s="200">
        <v>1994</v>
      </c>
      <c r="C136" s="200"/>
      <c r="D136" s="200">
        <v>296</v>
      </c>
      <c r="E136" s="200">
        <v>210</v>
      </c>
      <c r="F136" s="204">
        <f>D136*0.3048</f>
        <v>90.220800000000011</v>
      </c>
      <c r="G136" s="200"/>
      <c r="H136" s="200">
        <f>Cruise!$F136</f>
        <v>90.220800000000011</v>
      </c>
      <c r="I136" s="200">
        <f>IF(Cruise!$H136&gt;0,Cruise!$H136,Cruise!$F136)</f>
        <v>90.220800000000011</v>
      </c>
      <c r="J136" s="204"/>
      <c r="K136" s="204">
        <v>21.4</v>
      </c>
      <c r="L136" s="200">
        <v>5.3</v>
      </c>
      <c r="M136" s="200"/>
      <c r="N136" s="200">
        <v>16927</v>
      </c>
      <c r="O136" s="200">
        <v>2177</v>
      </c>
      <c r="P136" s="200"/>
      <c r="Q136" s="200">
        <f t="shared" si="0"/>
        <v>0.48728589390440857</v>
      </c>
      <c r="R136" s="200">
        <f t="shared" si="13"/>
        <v>0.4290404447317685</v>
      </c>
      <c r="S136" s="200">
        <f t="shared" si="2"/>
        <v>0.50447793451180978</v>
      </c>
      <c r="T136" s="200"/>
      <c r="U136" s="196">
        <f t="shared" si="4"/>
        <v>10232.843136</v>
      </c>
      <c r="V136" s="196">
        <f t="shared" si="5"/>
        <v>52.634253143964479</v>
      </c>
      <c r="W136" s="196">
        <f t="shared" si="6"/>
        <v>4.2159252336448603</v>
      </c>
      <c r="X136" s="196">
        <f t="shared" si="7"/>
        <v>4.0377358490566033</v>
      </c>
      <c r="Y136" s="196">
        <f t="shared" si="9"/>
        <v>17.022792452830192</v>
      </c>
      <c r="Z136" s="200"/>
      <c r="AA136" s="200"/>
      <c r="AB136" s="200">
        <v>20.5</v>
      </c>
      <c r="AC136" s="200">
        <f t="shared" si="15"/>
        <v>10.496</v>
      </c>
      <c r="AD136" s="196">
        <f t="shared" si="8"/>
        <v>0.35280601553309021</v>
      </c>
      <c r="AE136" s="204"/>
      <c r="AF136" s="200">
        <v>125</v>
      </c>
      <c r="AG136" s="200"/>
      <c r="AH136" s="200"/>
      <c r="AI136" s="200"/>
      <c r="AJ136" s="200"/>
      <c r="AK136" s="200"/>
      <c r="AL136" s="200"/>
      <c r="AM136" s="200"/>
      <c r="AN136" s="204"/>
      <c r="AO136" s="204"/>
      <c r="AP136" s="200"/>
      <c r="AQ136" s="200"/>
      <c r="AR136" s="200"/>
      <c r="AS136" s="200"/>
      <c r="AT136" s="200"/>
      <c r="AU136" s="200"/>
      <c r="AV136" s="200"/>
      <c r="AW136" s="205">
        <f>Cruise!$I136/(Cruise!$S136*Cruise!$I136*Cruise!$K136*Cruise!$L136)^(1/3)</f>
        <v>5.2202805434312953</v>
      </c>
      <c r="AX136">
        <f>(Cruise!$S136*Cruise!$I136*Cruise!$K136*Cruise!$L136)*1.025/O136</f>
        <v>2.4305464670043389</v>
      </c>
    </row>
    <row r="137" spans="1:50" x14ac:dyDescent="0.3">
      <c r="A137" s="194" t="s">
        <v>111</v>
      </c>
      <c r="B137" s="195">
        <v>2004</v>
      </c>
      <c r="C137" s="195"/>
      <c r="D137" s="195">
        <v>2750</v>
      </c>
      <c r="E137" s="195"/>
      <c r="F137" s="195"/>
      <c r="G137" s="195"/>
      <c r="H137" s="195">
        <v>223.7</v>
      </c>
      <c r="I137" s="195">
        <f>IF(Cruise!$H137&gt;0,Cruise!$H137,Cruise!$F137)</f>
        <v>223.7</v>
      </c>
      <c r="J137" s="195"/>
      <c r="K137" s="195">
        <v>35</v>
      </c>
      <c r="L137" s="195">
        <v>6.8</v>
      </c>
      <c r="M137" s="195"/>
      <c r="N137" s="195"/>
      <c r="O137" s="195">
        <v>6795</v>
      </c>
      <c r="P137" s="195"/>
      <c r="Q137" s="195">
        <f t="shared" si="0"/>
        <v>0.67604366082326217</v>
      </c>
      <c r="R137" s="195">
        <f t="shared" si="13"/>
        <v>0.60376410524882929</v>
      </c>
      <c r="S137" s="195">
        <f t="shared" si="2"/>
        <v>0.63496337621089027</v>
      </c>
      <c r="T137" s="195">
        <f>(Cruise!$Q137+Cruise!$R137)/2</f>
        <v>0.63990388303604573</v>
      </c>
      <c r="U137" s="196">
        <f t="shared" si="4"/>
        <v>53240.6</v>
      </c>
      <c r="V137" s="196">
        <f t="shared" si="5"/>
        <v>69.755223303415278</v>
      </c>
      <c r="W137" s="196">
        <f t="shared" si="6"/>
        <v>6.3914285714285715</v>
      </c>
      <c r="X137" s="196">
        <f t="shared" si="7"/>
        <v>5.1470588235294121</v>
      </c>
      <c r="Y137" s="196">
        <f t="shared" si="9"/>
        <v>32.897058823529413</v>
      </c>
      <c r="Z137" s="195"/>
      <c r="AA137" s="195">
        <v>31200</v>
      </c>
      <c r="AB137" s="195">
        <v>22</v>
      </c>
      <c r="AC137" s="195">
        <f t="shared" si="15"/>
        <v>11.263999999999999</v>
      </c>
      <c r="AD137" s="196">
        <f t="shared" si="8"/>
        <v>0.24045020189091543</v>
      </c>
      <c r="AE137" s="197">
        <f>Cruise!$AA137/(Cruise!$AC137^3)</f>
        <v>21.831152763338043</v>
      </c>
      <c r="AF137" s="195"/>
      <c r="AG137" s="195"/>
      <c r="AH137" s="195"/>
      <c r="AI137" s="195"/>
      <c r="AJ137" s="195" t="s">
        <v>112</v>
      </c>
      <c r="AK137" s="195"/>
      <c r="AL137" s="195"/>
      <c r="AM137" s="195"/>
      <c r="AN137" s="195"/>
      <c r="AO137" s="195"/>
      <c r="AP137" s="195"/>
      <c r="AQ137" s="195" t="s">
        <v>89</v>
      </c>
      <c r="AR137" s="195"/>
      <c r="AS137" s="195"/>
      <c r="AT137" s="195"/>
      <c r="AU137" s="195"/>
      <c r="AV137" s="195"/>
      <c r="AW137" s="198">
        <f>Cruise!$I137/(Cruise!$S137*Cruise!$I137*Cruise!$K137*Cruise!$L137)^(1/3)</f>
        <v>6.9183433460626524</v>
      </c>
      <c r="AX137">
        <f>(Cruise!$S137*Cruise!$I137*Cruise!$K137*Cruise!$L137)*1.025/O137</f>
        <v>5.09948151665649</v>
      </c>
    </row>
    <row r="138" spans="1:50" x14ac:dyDescent="0.3">
      <c r="A138" s="199" t="s">
        <v>113</v>
      </c>
      <c r="B138" s="200">
        <v>2002</v>
      </c>
      <c r="C138" s="200"/>
      <c r="D138" s="200">
        <v>2590</v>
      </c>
      <c r="E138" s="200"/>
      <c r="F138" s="200"/>
      <c r="G138" s="200"/>
      <c r="H138" s="200">
        <v>294</v>
      </c>
      <c r="I138" s="200">
        <f>IF(Cruise!$H138&gt;0,Cruise!$H138,Cruise!$F138)</f>
        <v>294</v>
      </c>
      <c r="J138" s="200"/>
      <c r="K138" s="200">
        <v>32.200000000000003</v>
      </c>
      <c r="L138" s="200">
        <v>7.9</v>
      </c>
      <c r="M138" s="200"/>
      <c r="N138" s="200"/>
      <c r="O138" s="200">
        <v>8015</v>
      </c>
      <c r="P138" s="200"/>
      <c r="Q138" s="200">
        <f t="shared" si="0"/>
        <v>0.69560094129892158</v>
      </c>
      <c r="R138" s="200">
        <f t="shared" si="13"/>
        <v>0.68884170370271991</v>
      </c>
      <c r="S138" s="200">
        <f t="shared" si="2"/>
        <v>0.65415391344647511</v>
      </c>
      <c r="T138" s="200">
        <f>(Cruise!$Q138+Cruise!$R138)/2</f>
        <v>0.69222132250082069</v>
      </c>
      <c r="U138" s="196">
        <f t="shared" si="4"/>
        <v>74787.720000000016</v>
      </c>
      <c r="V138" s="196">
        <f t="shared" si="5"/>
        <v>81.049786115644494</v>
      </c>
      <c r="W138" s="196">
        <f t="shared" si="6"/>
        <v>9.1304347826086953</v>
      </c>
      <c r="X138" s="196">
        <f t="shared" si="7"/>
        <v>4.075949367088608</v>
      </c>
      <c r="Y138" s="196">
        <f t="shared" si="9"/>
        <v>37.215189873417721</v>
      </c>
      <c r="Z138" s="200"/>
      <c r="AA138" s="200"/>
      <c r="AB138" s="200">
        <v>24</v>
      </c>
      <c r="AC138" s="200">
        <f t="shared" si="15"/>
        <v>12.288</v>
      </c>
      <c r="AD138" s="196">
        <f t="shared" si="8"/>
        <v>0.22880896351254673</v>
      </c>
      <c r="AE138" s="204"/>
      <c r="AF138" s="200"/>
      <c r="AG138" s="200"/>
      <c r="AH138" s="200"/>
      <c r="AI138" s="200"/>
      <c r="AJ138" s="200"/>
      <c r="AK138" s="200"/>
      <c r="AL138" s="200"/>
      <c r="AM138" s="200"/>
      <c r="AN138" s="200"/>
      <c r="AO138" s="200"/>
      <c r="AP138" s="200"/>
      <c r="AQ138" s="200" t="s">
        <v>91</v>
      </c>
      <c r="AR138" s="200"/>
      <c r="AS138" s="200"/>
      <c r="AT138" s="200"/>
      <c r="AU138" s="200"/>
      <c r="AV138" s="200"/>
      <c r="AW138" s="205">
        <f>Cruise!$I138/(Cruise!$S138*Cruise!$I138*Cruise!$K138*Cruise!$L138)^(1/3)</f>
        <v>8.03854137250703</v>
      </c>
      <c r="AX138">
        <f>(Cruise!$S138*Cruise!$I138*Cruise!$K138*Cruise!$L138)*1.025/O138</f>
        <v>6.2564874246578546</v>
      </c>
    </row>
    <row r="139" spans="1:50" x14ac:dyDescent="0.3">
      <c r="A139" s="194" t="s">
        <v>114</v>
      </c>
      <c r="B139" s="195">
        <v>1991</v>
      </c>
      <c r="C139" s="195"/>
      <c r="D139" s="195">
        <v>114</v>
      </c>
      <c r="E139" s="195">
        <v>72</v>
      </c>
      <c r="F139" s="195"/>
      <c r="G139" s="195">
        <v>80.150000000000006</v>
      </c>
      <c r="H139" s="195">
        <v>91</v>
      </c>
      <c r="I139" s="195">
        <f>IF(Cruise!$H139&gt;0,Cruise!$H139,Cruise!$F139)</f>
        <v>91</v>
      </c>
      <c r="J139" s="195"/>
      <c r="K139" s="195">
        <v>15</v>
      </c>
      <c r="L139" s="195">
        <v>4.2</v>
      </c>
      <c r="M139" s="195">
        <v>2606</v>
      </c>
      <c r="N139" s="195">
        <v>4200</v>
      </c>
      <c r="O139" s="195">
        <v>645</v>
      </c>
      <c r="P139" s="195"/>
      <c r="Q139" s="195">
        <f t="shared" si="0"/>
        <v>0.68559300386833844</v>
      </c>
      <c r="R139" s="195">
        <f t="shared" si="13"/>
        <v>0.6059215994704179</v>
      </c>
      <c r="S139" s="195">
        <f t="shared" si="2"/>
        <v>0.64414340873935061</v>
      </c>
      <c r="T139" s="195">
        <f>(Cruise!$Q139+Cruise!$R139)/2</f>
        <v>0.64575730166937817</v>
      </c>
      <c r="U139" s="196">
        <f t="shared" si="4"/>
        <v>5733</v>
      </c>
      <c r="V139" s="196">
        <f t="shared" si="5"/>
        <v>59.360084586629618</v>
      </c>
      <c r="W139" s="196">
        <f t="shared" si="6"/>
        <v>6.0666666666666664</v>
      </c>
      <c r="X139" s="196">
        <f t="shared" si="7"/>
        <v>3.5714285714285712</v>
      </c>
      <c r="Y139" s="196">
        <f t="shared" si="9"/>
        <v>21.666666666666664</v>
      </c>
      <c r="Z139" s="195"/>
      <c r="AA139" s="195">
        <v>3514</v>
      </c>
      <c r="AB139" s="195">
        <v>13.7</v>
      </c>
      <c r="AC139" s="195">
        <f t="shared" si="15"/>
        <v>7.0144000000000002</v>
      </c>
      <c r="AD139" s="196">
        <f t="shared" si="8"/>
        <v>0.2347660691259891</v>
      </c>
      <c r="AE139" s="197">
        <f>Cruise!$AA139/(Cruise!$AC139^3)</f>
        <v>10.181931542495461</v>
      </c>
      <c r="AF139" s="195"/>
      <c r="AG139" s="195"/>
      <c r="AH139" s="195"/>
      <c r="AI139" s="195"/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  <c r="AU139" s="195"/>
      <c r="AV139" s="195"/>
      <c r="AW139" s="198">
        <f>Cruise!$I139/(Cruise!$S139*Cruise!$I139*Cruise!$K139*Cruise!$L139)^(1/3)</f>
        <v>5.8873504631375528</v>
      </c>
      <c r="AX139">
        <f>(Cruise!$S139*Cruise!$I139*Cruise!$K139*Cruise!$L139)*1.025/O139</f>
        <v>5.868520955597309</v>
      </c>
    </row>
    <row r="140" spans="1:50" x14ac:dyDescent="0.3">
      <c r="A140" s="199" t="s">
        <v>115</v>
      </c>
      <c r="B140" s="200">
        <v>2003</v>
      </c>
      <c r="C140" s="200"/>
      <c r="D140" s="200">
        <v>1070</v>
      </c>
      <c r="E140" s="200"/>
      <c r="F140" s="200"/>
      <c r="G140" s="200"/>
      <c r="H140" s="200">
        <v>250</v>
      </c>
      <c r="I140" s="200">
        <f>IF(Cruise!$H140&gt;0,Cruise!$H140,Cruise!$F140)</f>
        <v>250</v>
      </c>
      <c r="J140" s="200"/>
      <c r="K140" s="200">
        <v>32</v>
      </c>
      <c r="L140" s="200">
        <v>7.5</v>
      </c>
      <c r="M140" s="200"/>
      <c r="N140" s="200"/>
      <c r="O140" s="200">
        <v>10810</v>
      </c>
      <c r="P140" s="200"/>
      <c r="Q140" s="200">
        <f t="shared" si="0"/>
        <v>0.69788207082058173</v>
      </c>
      <c r="R140" s="200">
        <f t="shared" si="13"/>
        <v>0.66029158199704774</v>
      </c>
      <c r="S140" s="200">
        <f t="shared" si="2"/>
        <v>0.65649418543017546</v>
      </c>
      <c r="T140" s="200">
        <f>(Cruise!$Q140+Cruise!$R140)/2</f>
        <v>0.67908682640881479</v>
      </c>
      <c r="U140" s="196">
        <f t="shared" si="4"/>
        <v>60000</v>
      </c>
      <c r="V140" s="196">
        <f t="shared" si="5"/>
        <v>74.08334540838959</v>
      </c>
      <c r="W140" s="196">
        <f t="shared" si="6"/>
        <v>7.8125</v>
      </c>
      <c r="X140" s="196">
        <f t="shared" si="7"/>
        <v>4.2666666666666666</v>
      </c>
      <c r="Y140" s="196">
        <f t="shared" si="9"/>
        <v>33.333333333333336</v>
      </c>
      <c r="Z140" s="200"/>
      <c r="AA140" s="200"/>
      <c r="AB140" s="200">
        <v>22</v>
      </c>
      <c r="AC140" s="200">
        <f t="shared" si="15"/>
        <v>11.263999999999999</v>
      </c>
      <c r="AD140" s="196">
        <f t="shared" si="8"/>
        <v>0.22745114832108235</v>
      </c>
      <c r="AE140" s="204"/>
      <c r="AF140" s="200"/>
      <c r="AG140" s="200"/>
      <c r="AH140" s="200"/>
      <c r="AI140" s="200"/>
      <c r="AJ140" s="200"/>
      <c r="AK140" s="200"/>
      <c r="AL140" s="200"/>
      <c r="AM140" s="200"/>
      <c r="AN140" s="200"/>
      <c r="AO140" s="200"/>
      <c r="AP140" s="200"/>
      <c r="AQ140" s="200" t="s">
        <v>116</v>
      </c>
      <c r="AR140" s="200"/>
      <c r="AS140" s="200"/>
      <c r="AT140" s="200"/>
      <c r="AU140" s="200"/>
      <c r="AV140" s="200"/>
      <c r="AW140" s="205">
        <f>Cruise!$I140/(Cruise!$S140*Cruise!$I140*Cruise!$K140*Cruise!$L140)^(1/3)</f>
        <v>7.3476077559212563</v>
      </c>
      <c r="AX140">
        <f>(Cruise!$S140*Cruise!$I140*Cruise!$K140*Cruise!$L140)*1.025/O140</f>
        <v>3.7349114157220891</v>
      </c>
    </row>
    <row r="141" spans="1:50" x14ac:dyDescent="0.3">
      <c r="A141" s="194" t="s">
        <v>115</v>
      </c>
      <c r="B141" s="195">
        <v>2003</v>
      </c>
      <c r="C141" s="195"/>
      <c r="D141" s="195">
        <v>1070</v>
      </c>
      <c r="E141" s="195"/>
      <c r="F141" s="195"/>
      <c r="G141" s="195"/>
      <c r="H141" s="195">
        <v>250</v>
      </c>
      <c r="I141" s="195">
        <f>IF(Cruise!$H141&gt;0,Cruise!$H141,Cruise!$F141)</f>
        <v>250</v>
      </c>
      <c r="J141" s="195"/>
      <c r="K141" s="195">
        <v>32</v>
      </c>
      <c r="L141" s="195">
        <v>7.5</v>
      </c>
      <c r="M141" s="195"/>
      <c r="N141" s="195"/>
      <c r="O141" s="195">
        <v>10810</v>
      </c>
      <c r="P141" s="195"/>
      <c r="Q141" s="196">
        <f t="shared" si="0"/>
        <v>0.69788207082058173</v>
      </c>
      <c r="R141" s="196">
        <f t="shared" si="13"/>
        <v>0.66029158199704774</v>
      </c>
      <c r="S141" s="196">
        <f t="shared" si="2"/>
        <v>0.65649418543017546</v>
      </c>
      <c r="T141" s="196">
        <f>(Cruise!$Q141+Cruise!$R141)/2</f>
        <v>0.67908682640881479</v>
      </c>
      <c r="U141" s="196">
        <f t="shared" si="4"/>
        <v>60000</v>
      </c>
      <c r="V141" s="196">
        <f t="shared" si="5"/>
        <v>74.08334540838959</v>
      </c>
      <c r="W141" s="196">
        <f t="shared" si="6"/>
        <v>7.8125</v>
      </c>
      <c r="X141" s="196">
        <f t="shared" si="7"/>
        <v>4.2666666666666666</v>
      </c>
      <c r="Y141" s="196">
        <f t="shared" si="9"/>
        <v>33.333333333333336</v>
      </c>
      <c r="Z141" s="196"/>
      <c r="AA141" s="195"/>
      <c r="AB141" s="195">
        <v>22</v>
      </c>
      <c r="AC141" s="196">
        <f t="shared" si="15"/>
        <v>11.263999999999999</v>
      </c>
      <c r="AD141" s="196">
        <f t="shared" si="8"/>
        <v>0.22745114832108235</v>
      </c>
      <c r="AE141" s="197">
        <f>Cruise!$AA141/(Cruise!$AC141^3)</f>
        <v>0</v>
      </c>
      <c r="AF141" s="195"/>
      <c r="AG141" s="195"/>
      <c r="AH141" s="195"/>
      <c r="AI141" s="195"/>
      <c r="AJ141" s="195"/>
      <c r="AK141" s="195"/>
      <c r="AL141" s="195"/>
      <c r="AM141" s="195"/>
      <c r="AN141" s="195"/>
      <c r="AO141" s="195"/>
      <c r="AP141" s="195"/>
      <c r="AQ141" s="195" t="s">
        <v>116</v>
      </c>
      <c r="AR141" s="195"/>
      <c r="AS141" s="195"/>
      <c r="AT141" s="195"/>
      <c r="AU141" s="195"/>
      <c r="AV141" s="195"/>
      <c r="AW141" s="198">
        <f>Cruise!$I141/(Cruise!$S141*Cruise!$I141*Cruise!$K141*Cruise!$L141)^(1/3)</f>
        <v>7.3476077559212563</v>
      </c>
      <c r="AX141">
        <f>(Cruise!$S141*Cruise!$I141*Cruise!$K141*Cruise!$L141)*1.025/O141</f>
        <v>3.7349114157220891</v>
      </c>
    </row>
    <row r="142" spans="1:50" x14ac:dyDescent="0.3">
      <c r="A142" s="199" t="s">
        <v>117</v>
      </c>
      <c r="B142" s="200">
        <v>1995</v>
      </c>
      <c r="C142" s="200"/>
      <c r="D142" s="200">
        <v>922</v>
      </c>
      <c r="E142" s="200"/>
      <c r="F142" s="200"/>
      <c r="G142" s="200"/>
      <c r="H142" s="200">
        <v>238</v>
      </c>
      <c r="I142" s="200">
        <f>IF(Cruise!$H142&gt;0,Cruise!$H142,Cruise!$F142)</f>
        <v>238</v>
      </c>
      <c r="J142" s="200"/>
      <c r="K142" s="200">
        <v>30</v>
      </c>
      <c r="L142" s="200">
        <v>8</v>
      </c>
      <c r="M142" s="200"/>
      <c r="N142" s="200"/>
      <c r="O142" s="200">
        <v>4500</v>
      </c>
      <c r="P142" s="200"/>
      <c r="Q142" s="200">
        <f t="shared" ref="Q142:Q177" si="16">1.08-1.68*AD142</f>
        <v>0.7061687910576796</v>
      </c>
      <c r="R142" s="200">
        <f t="shared" ref="R142:R158" si="17">(0.23/AD142^(2/3))*((I142/K142)+20)/26</f>
        <v>0.67292459679933381</v>
      </c>
      <c r="S142" s="200">
        <f t="shared" ref="S142:S177" si="18">0.27/(AD142^(3/5))</f>
        <v>0.66518737833938557</v>
      </c>
      <c r="T142" s="200">
        <f>(Cruise!$Q142+Cruise!$R142)/2</f>
        <v>0.68954669392850665</v>
      </c>
      <c r="U142" s="196">
        <f t="shared" si="4"/>
        <v>57120</v>
      </c>
      <c r="V142" s="196">
        <f t="shared" si="5"/>
        <v>71.379611395609302</v>
      </c>
      <c r="W142" s="196">
        <f t="shared" si="6"/>
        <v>7.9333333333333336</v>
      </c>
      <c r="X142" s="196">
        <f t="shared" si="7"/>
        <v>3.75</v>
      </c>
      <c r="Y142" s="196">
        <f t="shared" si="9"/>
        <v>29.75</v>
      </c>
      <c r="Z142" s="200"/>
      <c r="AA142" s="200">
        <v>25260</v>
      </c>
      <c r="AB142" s="200">
        <v>21</v>
      </c>
      <c r="AC142" s="200">
        <f t="shared" si="15"/>
        <v>10.752000000000001</v>
      </c>
      <c r="AD142" s="196">
        <f t="shared" si="8"/>
        <v>0.22251857675138123</v>
      </c>
      <c r="AE142" s="204">
        <f>Cruise!$AA142/(Cruise!$AC142^3)</f>
        <v>20.321959386491294</v>
      </c>
      <c r="AF142" s="200"/>
      <c r="AG142" s="200"/>
      <c r="AH142" s="200"/>
      <c r="AI142" s="200"/>
      <c r="AJ142" s="200"/>
      <c r="AK142" s="200"/>
      <c r="AL142" s="200"/>
      <c r="AM142" s="200"/>
      <c r="AN142" s="200"/>
      <c r="AO142" s="200"/>
      <c r="AP142" s="200"/>
      <c r="AQ142" s="200" t="s">
        <v>116</v>
      </c>
      <c r="AR142" s="200"/>
      <c r="AS142" s="200"/>
      <c r="AT142" s="200"/>
      <c r="AU142" s="200"/>
      <c r="AV142" s="200"/>
      <c r="AW142" s="205">
        <f>Cruise!$I142/(Cruise!$S142*Cruise!$I142*Cruise!$K142*Cruise!$L142)^(1/3)</f>
        <v>7.0794506297447892</v>
      </c>
      <c r="AX142">
        <f>(Cruise!$S142*Cruise!$I142*Cruise!$K142*Cruise!$L142)*1.025/O142</f>
        <v>8.6545312504476311</v>
      </c>
    </row>
    <row r="143" spans="1:50" x14ac:dyDescent="0.3">
      <c r="A143" s="194" t="s">
        <v>118</v>
      </c>
      <c r="B143" s="195">
        <v>1997</v>
      </c>
      <c r="C143" s="195"/>
      <c r="D143" s="195">
        <v>2250</v>
      </c>
      <c r="E143" s="195"/>
      <c r="F143" s="195"/>
      <c r="G143" s="195"/>
      <c r="H143" s="195">
        <v>261.3</v>
      </c>
      <c r="I143" s="195">
        <f>IF(Cruise!$H143&gt;0,Cruise!$H143,Cruise!$F143)</f>
        <v>261.3</v>
      </c>
      <c r="J143" s="195"/>
      <c r="K143" s="195">
        <v>32.200000000000003</v>
      </c>
      <c r="L143" s="195">
        <v>8.1</v>
      </c>
      <c r="M143" s="195"/>
      <c r="N143" s="195"/>
      <c r="O143" s="195">
        <v>8293</v>
      </c>
      <c r="P143" s="195"/>
      <c r="Q143" s="195">
        <f t="shared" si="16"/>
        <v>0.72322507059159302</v>
      </c>
      <c r="R143" s="195">
        <f t="shared" si="17"/>
        <v>0.6987166708001491</v>
      </c>
      <c r="S143" s="195">
        <f t="shared" si="18"/>
        <v>0.68408920279404972</v>
      </c>
      <c r="T143" s="195">
        <f>(Cruise!$Q143+Cruise!$R143)/2</f>
        <v>0.71097087069587106</v>
      </c>
      <c r="U143" s="196">
        <f t="shared" si="4"/>
        <v>68152.266000000003</v>
      </c>
      <c r="V143" s="196">
        <f t="shared" si="5"/>
        <v>73.200888553747617</v>
      </c>
      <c r="W143" s="196">
        <f t="shared" si="6"/>
        <v>8.1149068322981357</v>
      </c>
      <c r="X143" s="196">
        <f t="shared" si="7"/>
        <v>3.975308641975309</v>
      </c>
      <c r="Y143" s="196">
        <f t="shared" si="9"/>
        <v>32.25925925925926</v>
      </c>
      <c r="Z143" s="195"/>
      <c r="AA143" s="195">
        <v>46080</v>
      </c>
      <c r="AB143" s="195">
        <v>21</v>
      </c>
      <c r="AC143" s="195">
        <f t="shared" si="15"/>
        <v>10.752000000000001</v>
      </c>
      <c r="AD143" s="196">
        <f t="shared" si="8"/>
        <v>0.21236602940976612</v>
      </c>
      <c r="AE143" s="197">
        <f>Cruise!$AA143/(Cruise!$AC143^3)</f>
        <v>37.07188790694849</v>
      </c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 t="s">
        <v>91</v>
      </c>
      <c r="AR143" s="195"/>
      <c r="AS143" s="195"/>
      <c r="AT143" s="195"/>
      <c r="AU143" s="195"/>
      <c r="AV143" s="195"/>
      <c r="AW143" s="198">
        <f>Cruise!$I143/(Cruise!$S143*Cruise!$I143*Cruise!$K143*Cruise!$L143)^(1/3)</f>
        <v>7.2600854282821619</v>
      </c>
      <c r="AX143">
        <f>(Cruise!$S143*Cruise!$I143*Cruise!$K143*Cruise!$L143)*1.025/O143</f>
        <v>5.7624243397397459</v>
      </c>
    </row>
    <row r="144" spans="1:50" x14ac:dyDescent="0.3">
      <c r="A144" s="199" t="s">
        <v>119</v>
      </c>
      <c r="B144" s="200">
        <v>2004</v>
      </c>
      <c r="C144" s="200"/>
      <c r="D144" s="200">
        <v>3100</v>
      </c>
      <c r="E144" s="200"/>
      <c r="F144" s="200"/>
      <c r="G144" s="200"/>
      <c r="H144" s="200">
        <v>290</v>
      </c>
      <c r="I144" s="200">
        <f>IF(Cruise!$H144&gt;0,Cruise!$H144,Cruise!$F144)</f>
        <v>290</v>
      </c>
      <c r="J144" s="200"/>
      <c r="K144" s="200">
        <v>37.5</v>
      </c>
      <c r="L144" s="200">
        <v>8.0500000000000007</v>
      </c>
      <c r="M144" s="200"/>
      <c r="N144" s="200"/>
      <c r="O144" s="200">
        <v>14274</v>
      </c>
      <c r="P144" s="200"/>
      <c r="Q144" s="200">
        <f t="shared" si="16"/>
        <v>0.74133911824267651</v>
      </c>
      <c r="R144" s="200">
        <f t="shared" si="17"/>
        <v>0.71359652129913143</v>
      </c>
      <c r="S144" s="200">
        <f t="shared" si="18"/>
        <v>0.70581407129095686</v>
      </c>
      <c r="T144" s="200">
        <f>(Cruise!$Q144+Cruise!$R144)/2</f>
        <v>0.72746781977090391</v>
      </c>
      <c r="U144" s="196">
        <f t="shared" si="4"/>
        <v>87543.750000000015</v>
      </c>
      <c r="V144" s="196">
        <f t="shared" si="5"/>
        <v>73.960663790400062</v>
      </c>
      <c r="W144" s="196">
        <f t="shared" si="6"/>
        <v>7.7333333333333334</v>
      </c>
      <c r="X144" s="196">
        <f t="shared" si="7"/>
        <v>4.6583850931677011</v>
      </c>
      <c r="Y144" s="196">
        <f t="shared" si="9"/>
        <v>36.024844720496894</v>
      </c>
      <c r="Z144" s="200"/>
      <c r="AA144" s="200">
        <v>4200</v>
      </c>
      <c r="AB144" s="200">
        <v>21</v>
      </c>
      <c r="AC144" s="200">
        <f t="shared" si="15"/>
        <v>10.752000000000001</v>
      </c>
      <c r="AD144" s="196">
        <f t="shared" si="8"/>
        <v>0.20158385818888308</v>
      </c>
      <c r="AE144" s="204">
        <f>Cruise!$AA144/(Cruise!$AC144^3)</f>
        <v>3.3789481165187425</v>
      </c>
      <c r="AF144" s="200"/>
      <c r="AG144" s="200"/>
      <c r="AH144" s="200"/>
      <c r="AI144" s="200"/>
      <c r="AJ144" s="200"/>
      <c r="AK144" s="200"/>
      <c r="AL144" s="200"/>
      <c r="AM144" s="200"/>
      <c r="AN144" s="200"/>
      <c r="AO144" s="200"/>
      <c r="AP144" s="200"/>
      <c r="AQ144" s="200" t="s">
        <v>91</v>
      </c>
      <c r="AR144" s="200"/>
      <c r="AS144" s="200"/>
      <c r="AT144" s="200"/>
      <c r="AU144" s="200"/>
      <c r="AV144" s="200"/>
      <c r="AW144" s="205">
        <f>Cruise!$I144/(Cruise!$S144*Cruise!$I144*Cruise!$K144*Cruise!$L144)^(1/3)</f>
        <v>7.3354401573486001</v>
      </c>
      <c r="AX144">
        <f>(Cruise!$S144*Cruise!$I144*Cruise!$K144*Cruise!$L144)*1.025/O144</f>
        <v>4.4370429360142314</v>
      </c>
    </row>
    <row r="145" spans="1:50" x14ac:dyDescent="0.3">
      <c r="A145" s="194" t="s">
        <v>120</v>
      </c>
      <c r="B145" s="195">
        <v>2011</v>
      </c>
      <c r="C145" s="195">
        <v>2500</v>
      </c>
      <c r="D145" s="195">
        <v>4000</v>
      </c>
      <c r="E145" s="195">
        <v>1458</v>
      </c>
      <c r="F145" s="195"/>
      <c r="G145" s="195"/>
      <c r="H145" s="195">
        <v>340</v>
      </c>
      <c r="I145" s="195">
        <f>IF(Cruise!$H145&gt;0,Cruise!$H145,Cruise!$F145)</f>
        <v>340</v>
      </c>
      <c r="J145" s="195"/>
      <c r="K145" s="195">
        <v>37</v>
      </c>
      <c r="L145" s="195">
        <v>7.9</v>
      </c>
      <c r="M145" s="195"/>
      <c r="N145" s="195">
        <v>129690</v>
      </c>
      <c r="O145" s="195"/>
      <c r="P145" s="195">
        <v>0.75063274063065943</v>
      </c>
      <c r="Q145" s="195">
        <f t="shared" si="16"/>
        <v>0.75233657894072192</v>
      </c>
      <c r="R145" s="195">
        <f t="shared" si="17"/>
        <v>0.76776928344030526</v>
      </c>
      <c r="S145" s="195">
        <f t="shared" si="18"/>
        <v>0.71993378802512498</v>
      </c>
      <c r="T145" s="195">
        <f>(Cruise!$Q145+Cruise!$R145)/2</f>
        <v>0.76005293119051354</v>
      </c>
      <c r="U145" s="196">
        <f t="shared" si="4"/>
        <v>99382</v>
      </c>
      <c r="V145" s="196">
        <f t="shared" si="5"/>
        <v>82.575924105356449</v>
      </c>
      <c r="W145" s="196">
        <f t="shared" si="6"/>
        <v>9.1891891891891895</v>
      </c>
      <c r="X145" s="196">
        <f t="shared" si="7"/>
        <v>4.6835443037974684</v>
      </c>
      <c r="Y145" s="196">
        <f t="shared" si="9"/>
        <v>43.037974683544299</v>
      </c>
      <c r="Z145" s="195"/>
      <c r="AA145" s="195"/>
      <c r="AB145" s="195">
        <v>22</v>
      </c>
      <c r="AC145" s="195">
        <f t="shared" si="15"/>
        <v>11.263999999999999</v>
      </c>
      <c r="AD145" s="196">
        <f t="shared" si="8"/>
        <v>0.1950377506305227</v>
      </c>
      <c r="AE145" s="197"/>
      <c r="AF145" s="195"/>
      <c r="AG145" s="195"/>
      <c r="AH145" s="195"/>
      <c r="AI145" s="195"/>
      <c r="AJ145" s="195"/>
      <c r="AK145" s="195">
        <v>16</v>
      </c>
      <c r="AL145" s="195">
        <v>14</v>
      </c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8">
        <f>Cruise!$I145/(Cruise!$S145*Cruise!$I145*Cruise!$K145*Cruise!$L145)^(1/3)</f>
        <v>8.1899041824341303</v>
      </c>
    </row>
    <row r="146" spans="1:50" x14ac:dyDescent="0.3">
      <c r="A146" s="199" t="s">
        <v>121</v>
      </c>
      <c r="B146" s="200">
        <v>2012</v>
      </c>
      <c r="C146" s="200">
        <v>2500</v>
      </c>
      <c r="D146" s="200">
        <v>4000</v>
      </c>
      <c r="E146" s="200">
        <v>1458</v>
      </c>
      <c r="F146" s="200">
        <v>339.5</v>
      </c>
      <c r="G146" s="200"/>
      <c r="H146" s="200">
        <v>340</v>
      </c>
      <c r="I146" s="200">
        <f>IF(Cruise!$H146&gt;0,Cruise!$H146,Cruise!$F146)</f>
        <v>340</v>
      </c>
      <c r="J146" s="200"/>
      <c r="K146" s="200">
        <v>37</v>
      </c>
      <c r="L146" s="200">
        <v>8.6999999999999993</v>
      </c>
      <c r="M146" s="200"/>
      <c r="N146" s="200">
        <v>129690</v>
      </c>
      <c r="O146" s="200"/>
      <c r="P146" s="200">
        <v>0.72817588203729522</v>
      </c>
      <c r="Q146" s="200">
        <f t="shared" si="16"/>
        <v>0.75233657894072192</v>
      </c>
      <c r="R146" s="200">
        <f t="shared" si="17"/>
        <v>0.76776928344030526</v>
      </c>
      <c r="S146" s="200">
        <f t="shared" si="18"/>
        <v>0.71993378802512498</v>
      </c>
      <c r="T146" s="200">
        <f>(Cruise!$Q146+Cruise!$R146)/2</f>
        <v>0.76005293119051354</v>
      </c>
      <c r="U146" s="196">
        <f t="shared" si="4"/>
        <v>109445.99999999999</v>
      </c>
      <c r="V146" s="196">
        <f t="shared" si="5"/>
        <v>79.963056979036296</v>
      </c>
      <c r="W146" s="196">
        <f t="shared" si="6"/>
        <v>9.1891891891891895</v>
      </c>
      <c r="X146" s="196">
        <f t="shared" si="7"/>
        <v>4.2528735632183912</v>
      </c>
      <c r="Y146" s="196">
        <f t="shared" si="9"/>
        <v>39.080459770114949</v>
      </c>
      <c r="Z146" s="200"/>
      <c r="AA146" s="200">
        <v>76800</v>
      </c>
      <c r="AB146" s="200">
        <v>22</v>
      </c>
      <c r="AC146" s="200">
        <f>(AB146*0.512)</f>
        <v>11.263999999999999</v>
      </c>
      <c r="AD146" s="196">
        <f t="shared" si="8"/>
        <v>0.1950377506305227</v>
      </c>
      <c r="AE146" s="204">
        <f>Cruise!$AA146/(Cruise!$AC146^3)</f>
        <v>53.738222186678257</v>
      </c>
      <c r="AF146" s="200"/>
      <c r="AG146" s="200"/>
      <c r="AH146" s="200"/>
      <c r="AI146" s="200"/>
      <c r="AJ146" s="200"/>
      <c r="AK146" s="200">
        <v>17</v>
      </c>
      <c r="AL146" s="200">
        <v>14</v>
      </c>
      <c r="AM146" s="200"/>
      <c r="AN146" s="200"/>
      <c r="AO146" s="200"/>
      <c r="AP146" s="200"/>
      <c r="AQ146" s="200"/>
      <c r="AR146" s="200"/>
      <c r="AS146" s="200"/>
      <c r="AT146" s="200"/>
      <c r="AU146" s="200"/>
      <c r="AV146" s="200"/>
      <c r="AW146" s="205">
        <f>Cruise!$I146/(Cruise!$S146*Cruise!$I146*Cruise!$K146*Cruise!$L146)^(1/3)</f>
        <v>7.9307592604991157</v>
      </c>
    </row>
    <row r="147" spans="1:50" x14ac:dyDescent="0.3">
      <c r="A147" s="211" t="s">
        <v>121</v>
      </c>
      <c r="B147" s="195"/>
      <c r="C147" s="195"/>
      <c r="D147" s="195"/>
      <c r="E147" s="195"/>
      <c r="F147" s="212">
        <v>340</v>
      </c>
      <c r="G147" s="212">
        <v>340</v>
      </c>
      <c r="H147" s="212">
        <v>340</v>
      </c>
      <c r="I147" s="196">
        <f>IF(Cruise!$H147&gt;0,Cruise!$H147,Cruise!$F147)</f>
        <v>340</v>
      </c>
      <c r="J147" s="195"/>
      <c r="K147" s="212">
        <v>42</v>
      </c>
      <c r="L147" s="212">
        <v>8.6</v>
      </c>
      <c r="M147" s="195"/>
      <c r="N147" s="213">
        <v>129750</v>
      </c>
      <c r="O147" s="206">
        <v>9500</v>
      </c>
      <c r="P147" s="195"/>
      <c r="Q147" s="196">
        <f t="shared" si="16"/>
        <v>0.77165196526736968</v>
      </c>
      <c r="R147" s="196">
        <f t="shared" si="17"/>
        <v>0.76954248766589495</v>
      </c>
      <c r="S147" s="196">
        <f t="shared" si="18"/>
        <v>0.74666298523785513</v>
      </c>
      <c r="T147" s="196">
        <f>(Cruise!$Q147+Cruise!$R147)/2</f>
        <v>0.77059722646663231</v>
      </c>
      <c r="U147" s="196">
        <f t="shared" si="4"/>
        <v>122808</v>
      </c>
      <c r="V147" s="196">
        <f t="shared" si="5"/>
        <v>76.021501862537363</v>
      </c>
      <c r="W147" s="196">
        <f t="shared" si="6"/>
        <v>8.0952380952380949</v>
      </c>
      <c r="X147" s="196">
        <f t="shared" si="7"/>
        <v>4.8837209302325579</v>
      </c>
      <c r="Y147" s="196">
        <f t="shared" si="9"/>
        <v>39.534883720930232</v>
      </c>
      <c r="Z147" s="196" t="e">
        <f>Cruise!$I147/Cruise!$J147</f>
        <v>#DIV/0!</v>
      </c>
      <c r="AA147" s="195"/>
      <c r="AB147" s="195"/>
      <c r="AC147" s="214">
        <v>10.6</v>
      </c>
      <c r="AD147" s="196">
        <f t="shared" si="8"/>
        <v>0.18354049686466092</v>
      </c>
      <c r="AE147" s="197">
        <f>Cruise!$AA147/(Cruise!$AC147^3)</f>
        <v>0</v>
      </c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7"/>
      <c r="AP147" s="195"/>
      <c r="AQ147" s="195"/>
      <c r="AR147" s="195"/>
      <c r="AS147" s="195"/>
      <c r="AT147" s="195"/>
      <c r="AU147" s="195"/>
      <c r="AV147" s="195"/>
      <c r="AW147" s="215">
        <f>Cruise!$I147/(Cruise!$S147*Cruise!$I147*Cruise!$K147*Cruise!$L147)^(1/3)</f>
        <v>7.5398346770488285</v>
      </c>
      <c r="AX147">
        <f>(Cruise!$S147*Cruise!$I147*Cruise!$K147*Cruise!$L147)*1.025/O147</f>
        <v>9.8935360619334496</v>
      </c>
    </row>
    <row r="148" spans="1:50" x14ac:dyDescent="0.3">
      <c r="A148" s="199" t="s">
        <v>122</v>
      </c>
      <c r="B148" s="200">
        <v>2005</v>
      </c>
      <c r="C148" s="200"/>
      <c r="D148" s="200">
        <v>186</v>
      </c>
      <c r="E148" s="200">
        <v>54</v>
      </c>
      <c r="F148" s="200"/>
      <c r="G148" s="200"/>
      <c r="H148" s="200">
        <v>88.3</v>
      </c>
      <c r="I148" s="200">
        <f>IF(Cruise!$H148&gt;0,Cruise!$H148,Cruise!$F148)</f>
        <v>88.3</v>
      </c>
      <c r="J148" s="200"/>
      <c r="K148" s="200">
        <v>15.3</v>
      </c>
      <c r="L148" s="200">
        <v>3.65</v>
      </c>
      <c r="M148" s="200"/>
      <c r="N148" s="200">
        <v>4077</v>
      </c>
      <c r="O148" s="200">
        <v>796</v>
      </c>
      <c r="P148" s="200"/>
      <c r="Q148" s="200">
        <f t="shared" si="16"/>
        <v>0.62700220777924809</v>
      </c>
      <c r="R148" s="200">
        <f t="shared" si="17"/>
        <v>0.54621710802824464</v>
      </c>
      <c r="S148" s="200">
        <f t="shared" si="18"/>
        <v>0.59277746062121373</v>
      </c>
      <c r="T148" s="200">
        <f>(Cruise!$Q148+Cruise!$R148)/2</f>
        <v>0.58660965790374631</v>
      </c>
      <c r="U148" s="196">
        <f t="shared" si="4"/>
        <v>4931.1134999999995</v>
      </c>
      <c r="V148" s="196">
        <f t="shared" si="5"/>
        <v>62.266783459051091</v>
      </c>
      <c r="W148" s="196">
        <f t="shared" si="6"/>
        <v>5.7712418300653594</v>
      </c>
      <c r="X148" s="196">
        <f t="shared" si="7"/>
        <v>4.1917808219178081</v>
      </c>
      <c r="Y148" s="196">
        <f t="shared" si="9"/>
        <v>24.191780821917806</v>
      </c>
      <c r="Z148" s="200"/>
      <c r="AA148" s="200">
        <v>3514</v>
      </c>
      <c r="AB148" s="200">
        <v>15.5</v>
      </c>
      <c r="AC148" s="200">
        <f t="shared" ref="AC148:AC152" si="19">(AB148*0.512)</f>
        <v>7.9359999999999999</v>
      </c>
      <c r="AD148" s="196">
        <f t="shared" si="8"/>
        <v>0.26964154298854281</v>
      </c>
      <c r="AE148" s="204">
        <f>Cruise!$AA148/(Cruise!$AC148^3)</f>
        <v>7.0306710664537171</v>
      </c>
      <c r="AF148" s="200"/>
      <c r="AG148" s="200"/>
      <c r="AH148" s="200"/>
      <c r="AI148" s="200"/>
      <c r="AJ148" s="200"/>
      <c r="AK148" s="200"/>
      <c r="AL148" s="200"/>
      <c r="AM148" s="200"/>
      <c r="AN148" s="200"/>
      <c r="AO148" s="200"/>
      <c r="AP148" s="200"/>
      <c r="AQ148" s="200"/>
      <c r="AR148" s="200"/>
      <c r="AS148" s="200"/>
      <c r="AT148" s="200"/>
      <c r="AU148" s="200"/>
      <c r="AV148" s="200"/>
      <c r="AW148" s="205">
        <f>Cruise!$I148/(Cruise!$S148*Cruise!$I148*Cruise!$K148*Cruise!$L148)^(1/3)</f>
        <v>6.1756377031561849</v>
      </c>
      <c r="AX148">
        <f>(Cruise!$S148*Cruise!$I148*Cruise!$K148*Cruise!$L148)*1.025/O148</f>
        <v>3.7639814849611937</v>
      </c>
    </row>
    <row r="149" spans="1:50" x14ac:dyDescent="0.3">
      <c r="A149" s="194" t="s">
        <v>123</v>
      </c>
      <c r="B149" s="195">
        <v>2007</v>
      </c>
      <c r="C149" s="195"/>
      <c r="D149" s="195">
        <v>3782</v>
      </c>
      <c r="E149" s="195"/>
      <c r="F149" s="195"/>
      <c r="G149" s="195"/>
      <c r="H149" s="195">
        <v>290</v>
      </c>
      <c r="I149" s="195">
        <f>IF(Cruise!$H149&gt;0,Cruise!$H149,Cruise!$F149)</f>
        <v>290</v>
      </c>
      <c r="J149" s="195"/>
      <c r="K149" s="195">
        <v>36</v>
      </c>
      <c r="L149" s="195">
        <v>8</v>
      </c>
      <c r="M149" s="195"/>
      <c r="N149" s="195"/>
      <c r="O149" s="195">
        <v>8100</v>
      </c>
      <c r="P149" s="195"/>
      <c r="Q149" s="195">
        <f t="shared" si="16"/>
        <v>0.73327576391512117</v>
      </c>
      <c r="R149" s="195">
        <f t="shared" si="17"/>
        <v>0.71065161755103123</v>
      </c>
      <c r="S149" s="195">
        <f t="shared" si="18"/>
        <v>0.69591919137750224</v>
      </c>
      <c r="T149" s="195">
        <f>(Cruise!$Q149+Cruise!$R149)/2</f>
        <v>0.7219636907330762</v>
      </c>
      <c r="U149" s="196">
        <f t="shared" si="4"/>
        <v>83520</v>
      </c>
      <c r="V149" s="196">
        <f t="shared" si="5"/>
        <v>75.484222610898982</v>
      </c>
      <c r="W149" s="196">
        <f t="shared" si="6"/>
        <v>8.0555555555555554</v>
      </c>
      <c r="X149" s="196">
        <f t="shared" si="7"/>
        <v>4.5</v>
      </c>
      <c r="Y149" s="196">
        <f t="shared" si="9"/>
        <v>36.25</v>
      </c>
      <c r="Z149" s="195"/>
      <c r="AA149" s="195">
        <v>42000</v>
      </c>
      <c r="AB149" s="195">
        <v>21.5</v>
      </c>
      <c r="AC149" s="195">
        <f t="shared" si="19"/>
        <v>11.008000000000001</v>
      </c>
      <c r="AD149" s="196">
        <f t="shared" si="8"/>
        <v>0.20638347386004696</v>
      </c>
      <c r="AE149" s="197">
        <f>Cruise!$AA149/(Cruise!$AC149^3)</f>
        <v>31.486473902504251</v>
      </c>
      <c r="AF149" s="195"/>
      <c r="AG149" s="195"/>
      <c r="AH149" s="195"/>
      <c r="AI149" s="195"/>
      <c r="AJ149" s="195"/>
      <c r="AK149" s="195"/>
      <c r="AL149" s="195"/>
      <c r="AM149" s="195"/>
      <c r="AN149" s="195"/>
      <c r="AO149" s="195"/>
      <c r="AP149" s="195"/>
      <c r="AQ149" s="195" t="s">
        <v>91</v>
      </c>
      <c r="AR149" s="195"/>
      <c r="AS149" s="195"/>
      <c r="AT149" s="195"/>
      <c r="AU149" s="195"/>
      <c r="AV149" s="195"/>
      <c r="AW149" s="198">
        <f>Cruise!$I149/(Cruise!$S149*Cruise!$I149*Cruise!$K149*Cruise!$L149)^(1/3)</f>
        <v>7.4865471645226087</v>
      </c>
      <c r="AX149">
        <f>(Cruise!$S149*Cruise!$I149*Cruise!$K149*Cruise!$L149)*1.025/O149</f>
        <v>7.355092609314223</v>
      </c>
    </row>
    <row r="150" spans="1:50" x14ac:dyDescent="0.3">
      <c r="A150" s="199" t="s">
        <v>124</v>
      </c>
      <c r="B150" s="200">
        <v>1997</v>
      </c>
      <c r="C150" s="200"/>
      <c r="D150" s="200">
        <v>2730</v>
      </c>
      <c r="E150" s="200"/>
      <c r="F150" s="200"/>
      <c r="G150" s="200"/>
      <c r="H150" s="200">
        <v>301.8</v>
      </c>
      <c r="I150" s="200">
        <f>IF(Cruise!$H150&gt;0,Cruise!$H150,Cruise!$F150)</f>
        <v>301.8</v>
      </c>
      <c r="J150" s="200"/>
      <c r="K150" s="200">
        <v>32.200000000000003</v>
      </c>
      <c r="L150" s="200">
        <v>7.6</v>
      </c>
      <c r="M150" s="200"/>
      <c r="N150" s="200"/>
      <c r="O150" s="200">
        <v>7200</v>
      </c>
      <c r="P150" s="200"/>
      <c r="Q150" s="200">
        <f t="shared" si="16"/>
        <v>0.732217438276626</v>
      </c>
      <c r="R150" s="200">
        <f t="shared" si="17"/>
        <v>0.74250419630814224</v>
      </c>
      <c r="S150" s="200">
        <f t="shared" si="18"/>
        <v>0.69464777971278557</v>
      </c>
      <c r="T150" s="200">
        <f>(Cruise!$Q150+Cruise!$R150)/2</f>
        <v>0.73736081729238412</v>
      </c>
      <c r="U150" s="196">
        <f t="shared" si="4"/>
        <v>73856.495999999999</v>
      </c>
      <c r="V150" s="196">
        <f t="shared" si="5"/>
        <v>81.892238035446439</v>
      </c>
      <c r="W150" s="196">
        <f t="shared" si="6"/>
        <v>9.3726708074534155</v>
      </c>
      <c r="X150" s="196">
        <f t="shared" si="7"/>
        <v>4.2368421052631584</v>
      </c>
      <c r="Y150" s="196">
        <f t="shared" si="9"/>
        <v>39.71052631578948</v>
      </c>
      <c r="Z150" s="200"/>
      <c r="AA150" s="200">
        <v>50400</v>
      </c>
      <c r="AB150" s="200">
        <v>22</v>
      </c>
      <c r="AC150" s="200">
        <f t="shared" si="19"/>
        <v>11.263999999999999</v>
      </c>
      <c r="AD150" s="196">
        <f t="shared" si="8"/>
        <v>0.2070134295972465</v>
      </c>
      <c r="AE150" s="204">
        <f>Cruise!$AA150/(Cruise!$AC150^3)</f>
        <v>35.265708310007604</v>
      </c>
      <c r="AF150" s="200"/>
      <c r="AG150" s="200"/>
      <c r="AH150" s="200"/>
      <c r="AI150" s="200"/>
      <c r="AJ150" s="200"/>
      <c r="AK150" s="200"/>
      <c r="AL150" s="200"/>
      <c r="AM150" s="200"/>
      <c r="AN150" s="200"/>
      <c r="AO150" s="200"/>
      <c r="AP150" s="200"/>
      <c r="AQ150" s="200" t="s">
        <v>91</v>
      </c>
      <c r="AR150" s="200"/>
      <c r="AS150" s="200"/>
      <c r="AT150" s="200"/>
      <c r="AU150" s="200"/>
      <c r="AV150" s="200"/>
      <c r="AW150" s="205">
        <f>Cruise!$I150/(Cruise!$S150*Cruise!$I150*Cruise!$K150*Cruise!$L150)^(1/3)</f>
        <v>8.1220959990672235</v>
      </c>
      <c r="AX150">
        <f>(Cruise!$S150*Cruise!$I150*Cruise!$K150*Cruise!$L150)*1.025/O150</f>
        <v>7.3037301719250527</v>
      </c>
    </row>
    <row r="151" spans="1:50" x14ac:dyDescent="0.3">
      <c r="A151" s="194" t="s">
        <v>125</v>
      </c>
      <c r="B151" s="195">
        <v>2007</v>
      </c>
      <c r="C151" s="195"/>
      <c r="D151" s="195">
        <v>500</v>
      </c>
      <c r="E151" s="195"/>
      <c r="F151" s="195"/>
      <c r="G151" s="195"/>
      <c r="H151" s="195">
        <v>218.8</v>
      </c>
      <c r="I151" s="195">
        <f>IF(Cruise!$H151&gt;0,Cruise!$H151,Cruise!$F151)</f>
        <v>218.8</v>
      </c>
      <c r="J151" s="195"/>
      <c r="K151" s="195">
        <v>30.5</v>
      </c>
      <c r="L151" s="195">
        <v>7</v>
      </c>
      <c r="M151" s="195"/>
      <c r="N151" s="195"/>
      <c r="O151" s="195">
        <v>9300</v>
      </c>
      <c r="P151" s="195"/>
      <c r="Q151" s="195">
        <f t="shared" si="16"/>
        <v>0.61584707797421534</v>
      </c>
      <c r="R151" s="195">
        <f t="shared" si="17"/>
        <v>0.5666782181948824</v>
      </c>
      <c r="S151" s="195">
        <f t="shared" si="18"/>
        <v>0.58418806475638774</v>
      </c>
      <c r="T151" s="195">
        <f>(Cruise!$Q151+Cruise!$R151)/2</f>
        <v>0.59126264808454887</v>
      </c>
      <c r="U151" s="196">
        <f t="shared" si="4"/>
        <v>46713.8</v>
      </c>
      <c r="V151" s="196">
        <f t="shared" si="5"/>
        <v>73.275025878540944</v>
      </c>
      <c r="W151" s="196">
        <f t="shared" si="6"/>
        <v>7.1737704918032792</v>
      </c>
      <c r="X151" s="196">
        <f t="shared" si="7"/>
        <v>4.3571428571428568</v>
      </c>
      <c r="Y151" s="196">
        <f t="shared" si="9"/>
        <v>31.25714285714286</v>
      </c>
      <c r="Z151" s="195"/>
      <c r="AA151" s="195">
        <v>48000</v>
      </c>
      <c r="AB151" s="195">
        <v>25</v>
      </c>
      <c r="AC151" s="195">
        <f t="shared" si="19"/>
        <v>12.8</v>
      </c>
      <c r="AD151" s="196">
        <f t="shared" si="8"/>
        <v>0.27628150120582423</v>
      </c>
      <c r="AE151" s="197">
        <f>Cruise!$AA151/(Cruise!$AC151^3)</f>
        <v>22.888183593749993</v>
      </c>
      <c r="AF151" s="195"/>
      <c r="AG151" s="195"/>
      <c r="AH151" s="195"/>
      <c r="AI151" s="195"/>
      <c r="AJ151" s="195" t="s">
        <v>107</v>
      </c>
      <c r="AK151" s="195"/>
      <c r="AL151" s="195"/>
      <c r="AM151" s="195"/>
      <c r="AN151" s="195"/>
      <c r="AO151" s="195"/>
      <c r="AP151" s="195"/>
      <c r="AQ151" s="195" t="s">
        <v>126</v>
      </c>
      <c r="AR151" s="195"/>
      <c r="AS151" s="195"/>
      <c r="AT151" s="195"/>
      <c r="AU151" s="195"/>
      <c r="AV151" s="195"/>
      <c r="AW151" s="198">
        <f>Cruise!$I151/(Cruise!$S151*Cruise!$I151*Cruise!$K151*Cruise!$L151)^(1/3)</f>
        <v>7.2674383897291897</v>
      </c>
      <c r="AX151">
        <f>(Cruise!$S151*Cruise!$I151*Cruise!$K151*Cruise!$L151)*1.025/O151</f>
        <v>3.0077296268712224</v>
      </c>
    </row>
    <row r="152" spans="1:50" x14ac:dyDescent="0.3">
      <c r="A152" s="199" t="s">
        <v>127</v>
      </c>
      <c r="B152" s="200">
        <v>2000</v>
      </c>
      <c r="C152" s="200">
        <v>3114</v>
      </c>
      <c r="D152" s="200">
        <v>3840</v>
      </c>
      <c r="E152" s="200">
        <v>1180</v>
      </c>
      <c r="F152" s="200"/>
      <c r="G152" s="200"/>
      <c r="H152" s="200">
        <v>310</v>
      </c>
      <c r="I152" s="200">
        <f>IF(Cruise!$H152&gt;0,Cruise!$H152,Cruise!$F152)</f>
        <v>310</v>
      </c>
      <c r="J152" s="200">
        <v>11.7</v>
      </c>
      <c r="K152" s="200">
        <v>48</v>
      </c>
      <c r="L152" s="200">
        <v>8.3000000000000007</v>
      </c>
      <c r="M152" s="200"/>
      <c r="N152" s="200">
        <v>137308</v>
      </c>
      <c r="O152" s="200"/>
      <c r="P152" s="200">
        <v>0.7084094140092283</v>
      </c>
      <c r="Q152" s="200">
        <f t="shared" si="16"/>
        <v>0.71033167634119776</v>
      </c>
      <c r="R152" s="200">
        <f t="shared" si="17"/>
        <v>0.64216751749624179</v>
      </c>
      <c r="S152" s="200">
        <f t="shared" si="18"/>
        <v>0.66967176797198846</v>
      </c>
      <c r="T152" s="200">
        <f>(Cruise!$Q152+Cruise!$R152)/2</f>
        <v>0.67624959691871978</v>
      </c>
      <c r="U152" s="196">
        <f t="shared" si="4"/>
        <v>123504.00000000001</v>
      </c>
      <c r="V152" s="196">
        <f t="shared" si="5"/>
        <v>71.738998748401471</v>
      </c>
      <c r="W152" s="196">
        <f t="shared" si="6"/>
        <v>6.458333333333333</v>
      </c>
      <c r="X152" s="196">
        <f t="shared" si="7"/>
        <v>5.783132530120481</v>
      </c>
      <c r="Y152" s="196">
        <f t="shared" si="9"/>
        <v>37.349397590361441</v>
      </c>
      <c r="Z152" s="200">
        <f>Cruise!$I152/Cruise!$J152</f>
        <v>26.495726495726498</v>
      </c>
      <c r="AA152" s="200"/>
      <c r="AB152" s="200">
        <v>23.7</v>
      </c>
      <c r="AC152" s="200">
        <f t="shared" si="19"/>
        <v>12.134399999999999</v>
      </c>
      <c r="AD152" s="196">
        <f t="shared" si="8"/>
        <v>0.22004066884452522</v>
      </c>
      <c r="AE152" s="204"/>
      <c r="AF152" s="200"/>
      <c r="AG152" s="200" t="s">
        <v>75</v>
      </c>
      <c r="AH152" s="200" t="s">
        <v>82</v>
      </c>
      <c r="AI152" s="200"/>
      <c r="AJ152" s="200"/>
      <c r="AK152" s="200"/>
      <c r="AL152" s="200">
        <v>14</v>
      </c>
      <c r="AM152" s="200"/>
      <c r="AN152" s="200">
        <v>4.1025641025641031</v>
      </c>
      <c r="AO152" s="200" t="s">
        <v>83</v>
      </c>
      <c r="AP152" s="200" t="s">
        <v>84</v>
      </c>
      <c r="AQ152" s="200"/>
      <c r="AR152" s="200"/>
      <c r="AS152" s="200"/>
      <c r="AT152" s="200"/>
      <c r="AU152" s="200"/>
      <c r="AV152" s="200"/>
      <c r="AW152" s="205">
        <f>Cruise!$I152/(Cruise!$S152*Cruise!$I152*Cruise!$K152*Cruise!$L152)^(1/3)</f>
        <v>7.1150947719767421</v>
      </c>
    </row>
    <row r="153" spans="1:50" x14ac:dyDescent="0.3">
      <c r="A153" s="211" t="s">
        <v>127</v>
      </c>
      <c r="B153" s="195"/>
      <c r="C153" s="195"/>
      <c r="D153" s="195"/>
      <c r="E153" s="195"/>
      <c r="F153" s="212">
        <v>311</v>
      </c>
      <c r="G153" s="212">
        <v>311</v>
      </c>
      <c r="H153" s="212">
        <v>311</v>
      </c>
      <c r="I153" s="196">
        <f>IF(Cruise!$H153&gt;0,Cruise!$H153,Cruise!$F153)</f>
        <v>311</v>
      </c>
      <c r="J153" s="195">
        <v>11.7</v>
      </c>
      <c r="K153" s="212">
        <v>38</v>
      </c>
      <c r="L153" s="212">
        <v>8.8000000000000007</v>
      </c>
      <c r="M153" s="195"/>
      <c r="N153" s="213">
        <v>137308</v>
      </c>
      <c r="O153" s="206">
        <v>10937</v>
      </c>
      <c r="P153" s="195"/>
      <c r="Q153" s="196">
        <f t="shared" si="16"/>
        <v>0.56597849584982163</v>
      </c>
      <c r="R153" s="196">
        <f t="shared" si="17"/>
        <v>0.54909272701974587</v>
      </c>
      <c r="S153" s="196">
        <f t="shared" si="18"/>
        <v>0.54949097053865403</v>
      </c>
      <c r="T153" s="196">
        <f>(Cruise!$Q153+Cruise!$R153)/2</f>
        <v>0.55753561143478381</v>
      </c>
      <c r="U153" s="196">
        <f t="shared" si="4"/>
        <v>103998.40000000001</v>
      </c>
      <c r="V153" s="196">
        <f t="shared" si="5"/>
        <v>81.40903462903762</v>
      </c>
      <c r="W153" s="196">
        <f t="shared" si="6"/>
        <v>8.1842105263157894</v>
      </c>
      <c r="X153" s="196">
        <f t="shared" si="7"/>
        <v>4.3181818181818175</v>
      </c>
      <c r="Y153" s="196">
        <f t="shared" si="9"/>
        <v>35.340909090909086</v>
      </c>
      <c r="Z153" s="196">
        <f>Cruise!$I153/Cruise!$J153</f>
        <v>26.581196581196583</v>
      </c>
      <c r="AA153" s="195"/>
      <c r="AB153" s="195"/>
      <c r="AC153" s="214">
        <v>16.899999999999999</v>
      </c>
      <c r="AD153" s="196">
        <f t="shared" si="8"/>
        <v>0.30596518104177289</v>
      </c>
      <c r="AE153" s="197">
        <f>Cruise!$AA153/(Cruise!$AC153^3)</f>
        <v>0</v>
      </c>
      <c r="AF153" s="195"/>
      <c r="AG153" s="195"/>
      <c r="AH153" s="195"/>
      <c r="AI153" s="195"/>
      <c r="AJ153" s="195"/>
      <c r="AK153" s="195"/>
      <c r="AL153" s="195"/>
      <c r="AM153" s="195"/>
      <c r="AN153" s="197"/>
      <c r="AO153" s="197"/>
      <c r="AP153" s="195"/>
      <c r="AQ153" s="195"/>
      <c r="AR153" s="195"/>
      <c r="AS153" s="195"/>
      <c r="AT153" s="195"/>
      <c r="AU153" s="195"/>
      <c r="AV153" s="195"/>
      <c r="AW153" s="215">
        <f>Cruise!$I153/(Cruise!$S153*Cruise!$I153*Cruise!$K153*Cruise!$L153)^(1/3)</f>
        <v>8.0741717446069874</v>
      </c>
      <c r="AX153">
        <f>(Cruise!$S153*Cruise!$I153*Cruise!$K153*Cruise!$L153)*1.025/O153</f>
        <v>5.3556584341436251</v>
      </c>
    </row>
    <row r="154" spans="1:50" x14ac:dyDescent="0.3">
      <c r="A154" s="199" t="s">
        <v>128</v>
      </c>
      <c r="B154" s="200">
        <v>1999</v>
      </c>
      <c r="C154" s="200"/>
      <c r="D154" s="200">
        <v>440</v>
      </c>
      <c r="E154" s="200"/>
      <c r="F154" s="200"/>
      <c r="G154" s="200"/>
      <c r="H154" s="200">
        <v>188.3</v>
      </c>
      <c r="I154" s="200">
        <f>IF(Cruise!$H154&gt;0,Cruise!$H154,Cruise!$F154)</f>
        <v>188.3</v>
      </c>
      <c r="J154" s="200"/>
      <c r="K154" s="200">
        <v>28.7</v>
      </c>
      <c r="L154" s="200">
        <v>6.5</v>
      </c>
      <c r="M154" s="200"/>
      <c r="N154" s="200"/>
      <c r="O154" s="200">
        <v>8681</v>
      </c>
      <c r="P154" s="200"/>
      <c r="Q154" s="200">
        <f t="shared" si="16"/>
        <v>0.63970651444079696</v>
      </c>
      <c r="R154" s="200">
        <f t="shared" si="17"/>
        <v>0.57373303784374097</v>
      </c>
      <c r="S154" s="200">
        <f t="shared" si="18"/>
        <v>0.60298148540675933</v>
      </c>
      <c r="T154" s="200">
        <f>(Cruise!$Q154+Cruise!$R154)/2</f>
        <v>0.60671977614226891</v>
      </c>
      <c r="U154" s="196">
        <f t="shared" si="4"/>
        <v>35127.364999999998</v>
      </c>
      <c r="V154" s="196">
        <f t="shared" si="5"/>
        <v>68.618585019906675</v>
      </c>
      <c r="W154" s="196">
        <f t="shared" si="6"/>
        <v>6.5609756097560981</v>
      </c>
      <c r="X154" s="196">
        <f t="shared" si="7"/>
        <v>4.4153846153846157</v>
      </c>
      <c r="Y154" s="196">
        <f t="shared" si="9"/>
        <v>28.969230769230769</v>
      </c>
      <c r="Z154" s="200"/>
      <c r="AA154" s="200">
        <v>23040</v>
      </c>
      <c r="AB154" s="200">
        <v>22</v>
      </c>
      <c r="AC154" s="200">
        <f t="shared" ref="AC154:AC158" si="20">(AB154*0.512)</f>
        <v>11.263999999999999</v>
      </c>
      <c r="AD154" s="196">
        <f t="shared" si="8"/>
        <v>0.26207945569000185</v>
      </c>
      <c r="AE154" s="204">
        <f>Cruise!$AA154/(Cruise!$AC154^3)</f>
        <v>16.121466656003477</v>
      </c>
      <c r="AF154" s="200"/>
      <c r="AG154" s="200"/>
      <c r="AH154" s="200"/>
      <c r="AI154" s="200"/>
      <c r="AJ154" s="200" t="s">
        <v>129</v>
      </c>
      <c r="AK154" s="200"/>
      <c r="AL154" s="200"/>
      <c r="AM154" s="200"/>
      <c r="AN154" s="200"/>
      <c r="AO154" s="200"/>
      <c r="AP154" s="200"/>
      <c r="AQ154" s="200" t="s">
        <v>126</v>
      </c>
      <c r="AR154" s="200"/>
      <c r="AS154" s="200"/>
      <c r="AT154" s="200"/>
      <c r="AU154" s="200"/>
      <c r="AV154" s="200"/>
      <c r="AW154" s="205">
        <f>Cruise!$I154/(Cruise!$S154*Cruise!$I154*Cruise!$K154*Cruise!$L154)^(1/3)</f>
        <v>6.8056112303415528</v>
      </c>
      <c r="AX154">
        <f>(Cruise!$S154*Cruise!$I154*Cruise!$K154*Cruise!$L154)*1.025/O154</f>
        <v>2.5009422294987376</v>
      </c>
    </row>
    <row r="155" spans="1:50" x14ac:dyDescent="0.3">
      <c r="A155" s="194" t="s">
        <v>130</v>
      </c>
      <c r="B155" s="195">
        <v>2006</v>
      </c>
      <c r="C155" s="195"/>
      <c r="D155" s="195">
        <v>575</v>
      </c>
      <c r="E155" s="195"/>
      <c r="F155" s="195"/>
      <c r="G155" s="195"/>
      <c r="H155" s="195">
        <v>216.8</v>
      </c>
      <c r="I155" s="195">
        <f>IF(Cruise!$H155&gt;0,Cruise!$H155,Cruise!$F155)</f>
        <v>216.8</v>
      </c>
      <c r="J155" s="195"/>
      <c r="K155" s="195">
        <v>30.5</v>
      </c>
      <c r="L155" s="195">
        <v>7</v>
      </c>
      <c r="M155" s="195"/>
      <c r="N155" s="195"/>
      <c r="O155" s="195">
        <v>9300</v>
      </c>
      <c r="P155" s="195"/>
      <c r="Q155" s="196">
        <f t="shared" si="16"/>
        <v>0.61371106612956305</v>
      </c>
      <c r="R155" s="196">
        <f t="shared" si="17"/>
        <v>0.56358301833141988</v>
      </c>
      <c r="S155" s="196">
        <f t="shared" si="18"/>
        <v>0.5825809346457026</v>
      </c>
      <c r="T155" s="196">
        <f>(Cruise!$Q155+Cruise!$R155)/2</f>
        <v>0.58864704223049147</v>
      </c>
      <c r="U155" s="196">
        <f t="shared" si="4"/>
        <v>46286.8</v>
      </c>
      <c r="V155" s="196">
        <f t="shared" si="5"/>
        <v>72.894723217256356</v>
      </c>
      <c r="W155" s="196">
        <f t="shared" si="6"/>
        <v>7.1081967213114758</v>
      </c>
      <c r="X155" s="196">
        <f t="shared" si="7"/>
        <v>4.3571428571428568</v>
      </c>
      <c r="Y155" s="196">
        <f t="shared" si="9"/>
        <v>30.971428571428572</v>
      </c>
      <c r="Z155" s="196" t="e">
        <f>Cruise!$I155/Cruise!$J155</f>
        <v>#DIV/0!</v>
      </c>
      <c r="AA155" s="195">
        <v>62370</v>
      </c>
      <c r="AB155" s="195">
        <v>25</v>
      </c>
      <c r="AC155" s="196">
        <f t="shared" si="20"/>
        <v>12.8</v>
      </c>
      <c r="AD155" s="196">
        <f t="shared" si="8"/>
        <v>0.27755293682764109</v>
      </c>
      <c r="AE155" s="197">
        <f>Cruise!$AA223/(Cruise!$AC223^3)</f>
        <v>9.6119006243113514</v>
      </c>
      <c r="AF155" s="195"/>
      <c r="AG155" s="195"/>
      <c r="AH155" s="195"/>
      <c r="AI155" s="195"/>
      <c r="AJ155" s="195"/>
      <c r="AK155" s="195"/>
      <c r="AL155" s="195"/>
      <c r="AM155" s="195"/>
      <c r="AN155" s="195"/>
      <c r="AO155" s="195"/>
      <c r="AP155" s="195"/>
      <c r="AQ155" s="195" t="s">
        <v>89</v>
      </c>
      <c r="AR155" s="195"/>
      <c r="AS155" s="195"/>
      <c r="AT155" s="195"/>
      <c r="AU155" s="195"/>
      <c r="AV155" s="195"/>
      <c r="AW155" s="198">
        <f>Cruise!$I155/(Cruise!$S155*Cruise!$I155*Cruise!$K155*Cruise!$L155)^(1/3)</f>
        <v>7.2297198611145825</v>
      </c>
      <c r="AX155">
        <f>(Cruise!$S155*Cruise!$I155*Cruise!$K155*Cruise!$L155)*1.025/O155</f>
        <v>2.9720378909572767</v>
      </c>
    </row>
    <row r="156" spans="1:50" x14ac:dyDescent="0.3">
      <c r="A156" s="199" t="s">
        <v>131</v>
      </c>
      <c r="B156" s="200">
        <v>2006</v>
      </c>
      <c r="C156" s="200"/>
      <c r="D156" s="200">
        <v>4375</v>
      </c>
      <c r="E156" s="200"/>
      <c r="F156" s="200"/>
      <c r="G156" s="200"/>
      <c r="H156" s="200">
        <v>339</v>
      </c>
      <c r="I156" s="200">
        <f>IF(Cruise!$H156&gt;0,Cruise!$H156,Cruise!$F156)</f>
        <v>339</v>
      </c>
      <c r="J156" s="200"/>
      <c r="K156" s="200">
        <v>56</v>
      </c>
      <c r="L156" s="200">
        <v>8.5</v>
      </c>
      <c r="M156" s="200"/>
      <c r="N156" s="200"/>
      <c r="O156" s="200">
        <v>10500</v>
      </c>
      <c r="P156" s="200"/>
      <c r="Q156" s="200">
        <f t="shared" si="16"/>
        <v>0.75781995260857049</v>
      </c>
      <c r="R156" s="200">
        <f t="shared" si="17"/>
        <v>0.69304618951824282</v>
      </c>
      <c r="S156" s="200">
        <f t="shared" si="18"/>
        <v>0.72726074844308475</v>
      </c>
      <c r="T156" s="200">
        <f>(Cruise!$Q156+Cruise!$R156)/2</f>
        <v>0.72543307106340671</v>
      </c>
      <c r="U156" s="196">
        <f t="shared" si="4"/>
        <v>161364</v>
      </c>
      <c r="V156" s="196">
        <f t="shared" si="5"/>
        <v>69.813924742422031</v>
      </c>
      <c r="W156" s="196">
        <f t="shared" si="6"/>
        <v>6.0535714285714288</v>
      </c>
      <c r="X156" s="196">
        <f t="shared" si="7"/>
        <v>6.5882352941176467</v>
      </c>
      <c r="Y156" s="196">
        <f t="shared" si="9"/>
        <v>39.882352941176471</v>
      </c>
      <c r="Z156" s="200"/>
      <c r="AA156" s="200">
        <v>75600</v>
      </c>
      <c r="AB156" s="200">
        <v>21.6</v>
      </c>
      <c r="AC156" s="200">
        <f t="shared" si="20"/>
        <v>11.059200000000001</v>
      </c>
      <c r="AD156" s="196">
        <f t="shared" si="8"/>
        <v>0.19177383773299378</v>
      </c>
      <c r="AE156" s="204">
        <f>Cruise!$AA156/(Cruise!$AC156^3)</f>
        <v>55.892129820887767</v>
      </c>
      <c r="AF156" s="200"/>
      <c r="AG156" s="200"/>
      <c r="AH156" s="200"/>
      <c r="AI156" s="200"/>
      <c r="AJ156" s="200"/>
      <c r="AK156" s="200"/>
      <c r="AL156" s="200"/>
      <c r="AM156" s="200"/>
      <c r="AN156" s="200"/>
      <c r="AO156" s="200"/>
      <c r="AP156" s="200"/>
      <c r="AQ156" s="200" t="s">
        <v>91</v>
      </c>
      <c r="AR156" s="200"/>
      <c r="AS156" s="200"/>
      <c r="AT156" s="200"/>
      <c r="AU156" s="200"/>
      <c r="AV156" s="200"/>
      <c r="AW156" s="205">
        <f>Cruise!$I156/(Cruise!$S156*Cruise!$I156*Cruise!$K156*Cruise!$L156)^(1/3)</f>
        <v>6.9241653718655121</v>
      </c>
      <c r="AX156">
        <f>(Cruise!$S156*Cruise!$I156*Cruise!$K156*Cruise!$L156)*1.025/O156</f>
        <v>11.455956761625158</v>
      </c>
    </row>
    <row r="157" spans="1:50" x14ac:dyDescent="0.3">
      <c r="A157" s="194" t="s">
        <v>132</v>
      </c>
      <c r="B157" s="195">
        <v>1998</v>
      </c>
      <c r="C157" s="195"/>
      <c r="D157" s="195">
        <v>111</v>
      </c>
      <c r="E157" s="195">
        <v>72</v>
      </c>
      <c r="F157" s="195"/>
      <c r="G157" s="195"/>
      <c r="H157" s="195">
        <v>89.35</v>
      </c>
      <c r="I157" s="195">
        <f>IF(Cruise!$H157&gt;0,Cruise!$H157,Cruise!$F157)</f>
        <v>89.35</v>
      </c>
      <c r="J157" s="195"/>
      <c r="K157" s="195">
        <v>15.3</v>
      </c>
      <c r="L157" s="195">
        <v>3.65</v>
      </c>
      <c r="M157" s="195"/>
      <c r="N157" s="195">
        <v>4077</v>
      </c>
      <c r="O157" s="195">
        <v>796</v>
      </c>
      <c r="P157" s="195"/>
      <c r="Q157" s="195">
        <f t="shared" si="16"/>
        <v>0.62967178445235927</v>
      </c>
      <c r="R157" s="195">
        <f t="shared" si="17"/>
        <v>0.54983394589873269</v>
      </c>
      <c r="S157" s="195">
        <f t="shared" si="18"/>
        <v>0.59488338311036248</v>
      </c>
      <c r="T157" s="195">
        <f>(Cruise!$Q157+Cruise!$R157)/2</f>
        <v>0.58975286517554593</v>
      </c>
      <c r="U157" s="196">
        <f t="shared" si="4"/>
        <v>4989.7507500000002</v>
      </c>
      <c r="V157" s="196">
        <f t="shared" si="5"/>
        <v>62.685286523449314</v>
      </c>
      <c r="W157" s="196">
        <f t="shared" si="6"/>
        <v>5.8398692810457513</v>
      </c>
      <c r="X157" s="196">
        <f t="shared" si="7"/>
        <v>4.1917808219178081</v>
      </c>
      <c r="Y157" s="196">
        <f t="shared" si="9"/>
        <v>24.479452054794521</v>
      </c>
      <c r="Z157" s="195"/>
      <c r="AA157" s="195">
        <v>3514</v>
      </c>
      <c r="AB157" s="195">
        <v>15.5</v>
      </c>
      <c r="AC157" s="195">
        <f t="shared" si="20"/>
        <v>7.9359999999999999</v>
      </c>
      <c r="AD157" s="196">
        <f t="shared" si="8"/>
        <v>0.2680525092545481</v>
      </c>
      <c r="AE157" s="197">
        <f>Cruise!$AA157/(Cruise!$AC157^3)</f>
        <v>7.0306710664537171</v>
      </c>
      <c r="AF157" s="195"/>
      <c r="AG157" s="195"/>
      <c r="AH157" s="195"/>
      <c r="AI157" s="195"/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5"/>
      <c r="AW157" s="198">
        <f>Cruise!$I157/(Cruise!$S157*Cruise!$I157*Cruise!$K157*Cruise!$L157)^(1/3)</f>
        <v>6.2171449588679488</v>
      </c>
      <c r="AX157">
        <f>(Cruise!$S157*Cruise!$I157*Cruise!$K157*Cruise!$L157)*1.025/O157</f>
        <v>3.8222711083082976</v>
      </c>
    </row>
    <row r="158" spans="1:50" x14ac:dyDescent="0.3">
      <c r="A158" s="199" t="s">
        <v>133</v>
      </c>
      <c r="B158" s="200">
        <v>2006</v>
      </c>
      <c r="C158" s="200"/>
      <c r="D158" s="200">
        <v>2800</v>
      </c>
      <c r="E158" s="200"/>
      <c r="F158" s="200"/>
      <c r="G158" s="200"/>
      <c r="H158" s="200">
        <v>212.1</v>
      </c>
      <c r="I158" s="200">
        <f>IF(Cruise!$H158&gt;0,Cruise!$H158,Cruise!$F158)</f>
        <v>212.1</v>
      </c>
      <c r="J158" s="200">
        <v>15.4</v>
      </c>
      <c r="K158" s="200">
        <v>29</v>
      </c>
      <c r="L158" s="200">
        <v>6.3</v>
      </c>
      <c r="M158" s="200"/>
      <c r="N158" s="200"/>
      <c r="O158" s="200">
        <v>4850</v>
      </c>
      <c r="P158" s="200"/>
      <c r="Q158" s="200">
        <f t="shared" si="16"/>
        <v>0.66514427705136692</v>
      </c>
      <c r="R158" s="200">
        <f t="shared" si="17"/>
        <v>0.6138722018402738</v>
      </c>
      <c r="S158" s="200">
        <f t="shared" si="18"/>
        <v>0.62490080172115559</v>
      </c>
      <c r="T158" s="200">
        <f>(Cruise!$Q158+Cruise!$R158)/2</f>
        <v>0.63950823944582036</v>
      </c>
      <c r="U158" s="196">
        <f t="shared" si="4"/>
        <v>38750.67</v>
      </c>
      <c r="V158" s="196">
        <f t="shared" si="5"/>
        <v>73.918280848219212</v>
      </c>
      <c r="W158" s="196">
        <f t="shared" si="6"/>
        <v>7.3137931034482753</v>
      </c>
      <c r="X158" s="196">
        <f t="shared" si="7"/>
        <v>4.6031746031746037</v>
      </c>
      <c r="Y158" s="196">
        <f t="shared" si="9"/>
        <v>33.666666666666664</v>
      </c>
      <c r="Z158" s="200">
        <f>Cruise!$I158/Cruise!$J158</f>
        <v>13.772727272727272</v>
      </c>
      <c r="AA158" s="200">
        <v>28496</v>
      </c>
      <c r="AB158" s="200">
        <v>22</v>
      </c>
      <c r="AC158" s="200">
        <f t="shared" si="20"/>
        <v>11.263999999999999</v>
      </c>
      <c r="AD158" s="196">
        <f t="shared" si="8"/>
        <v>0.24693793032656736</v>
      </c>
      <c r="AE158" s="204">
        <f>Cruise!$AA158/(Cruise!$AC158^3)</f>
        <v>19.939119523848746</v>
      </c>
      <c r="AF158" s="200"/>
      <c r="AG158" s="200"/>
      <c r="AH158" s="200"/>
      <c r="AI158" s="200"/>
      <c r="AJ158" s="200" t="s">
        <v>107</v>
      </c>
      <c r="AK158" s="200"/>
      <c r="AL158" s="200"/>
      <c r="AM158" s="200"/>
      <c r="AN158" s="200"/>
      <c r="AO158" s="200"/>
      <c r="AP158" s="200"/>
      <c r="AQ158" s="200" t="s">
        <v>89</v>
      </c>
      <c r="AR158" s="200"/>
      <c r="AS158" s="200"/>
      <c r="AT158" s="200"/>
      <c r="AU158" s="200"/>
      <c r="AV158" s="200"/>
      <c r="AW158" s="205">
        <f>Cruise!$I158/(Cruise!$S158*Cruise!$I158*Cruise!$K158*Cruise!$L158)^(1/3)</f>
        <v>7.3312366048096314</v>
      </c>
      <c r="AX158">
        <f>(Cruise!$S158*Cruise!$I158*Cruise!$K158*Cruise!$L158)*1.025/O158</f>
        <v>5.1176717255644801</v>
      </c>
    </row>
    <row r="159" spans="1:50" x14ac:dyDescent="0.3">
      <c r="A159" s="194" t="s">
        <v>134</v>
      </c>
      <c r="B159" s="195">
        <v>2016</v>
      </c>
      <c r="C159" s="195"/>
      <c r="D159" s="195">
        <v>3352</v>
      </c>
      <c r="E159" s="195">
        <v>1999</v>
      </c>
      <c r="F159" s="195">
        <v>335.3</v>
      </c>
      <c r="G159" s="195"/>
      <c r="H159" s="195"/>
      <c r="I159" s="195">
        <f>IF(Cruise!$H159&gt;0,Cruise!$H159,Cruise!$F159)</f>
        <v>335.3</v>
      </c>
      <c r="J159" s="195"/>
      <c r="K159" s="195">
        <v>39.700000000000003</v>
      </c>
      <c r="L159" s="195">
        <v>8.3000000000000007</v>
      </c>
      <c r="M159" s="195"/>
      <c r="N159" s="195">
        <v>150695</v>
      </c>
      <c r="O159" s="195">
        <v>10000</v>
      </c>
      <c r="P159" s="195"/>
      <c r="Q159" s="195">
        <f t="shared" si="16"/>
        <v>0.76363986163943831</v>
      </c>
      <c r="R159" s="195">
        <f t="shared" ref="R159:R164" si="21">(0.23/AD159^(2/3))*((I159/K159)+20)/26</f>
        <v>0.76593454844929043</v>
      </c>
      <c r="S159" s="195">
        <f t="shared" si="18"/>
        <v>0.73525888128617634</v>
      </c>
      <c r="T159" s="195">
        <f>(Cruise!$Q159+Cruise!$R159)/2</f>
        <v>0.76478720504436437</v>
      </c>
      <c r="U159" s="196">
        <f t="shared" si="4"/>
        <v>110484.70300000002</v>
      </c>
      <c r="V159" s="196">
        <f t="shared" si="5"/>
        <v>78.059787497832275</v>
      </c>
      <c r="W159" s="196">
        <f t="shared" si="6"/>
        <v>8.4458438287153648</v>
      </c>
      <c r="X159" s="196">
        <f t="shared" si="7"/>
        <v>4.7831325301204819</v>
      </c>
      <c r="Y159" s="196">
        <f t="shared" si="9"/>
        <v>40.397590361445779</v>
      </c>
      <c r="Z159" s="195"/>
      <c r="AA159" s="195"/>
      <c r="AB159" s="195"/>
      <c r="AC159" s="195">
        <v>10.8</v>
      </c>
      <c r="AD159" s="196">
        <f t="shared" si="8"/>
        <v>0.18830960616700107</v>
      </c>
      <c r="AE159" s="197">
        <f>Cruise!$AA159/(Cruise!$AC159^3)</f>
        <v>0</v>
      </c>
      <c r="AF159" s="195"/>
      <c r="AG159" s="195"/>
      <c r="AH159" s="195"/>
      <c r="AI159" s="195"/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  <c r="AW159" s="198">
        <f>Cruise!$I159/(Cruise!$S159*Cruise!$I159*Cruise!$K159*Cruise!$L159)^(1/3)</f>
        <v>7.7419924395002502</v>
      </c>
      <c r="AX159">
        <f>(Cruise!$S159*Cruise!$I159*Cruise!$K159*Cruise!$L159)*1.025/O159</f>
        <v>8.3265730605190846</v>
      </c>
    </row>
    <row r="160" spans="1:50" x14ac:dyDescent="0.3">
      <c r="A160" s="199" t="s">
        <v>135</v>
      </c>
      <c r="B160" s="200">
        <v>2016</v>
      </c>
      <c r="C160" s="200">
        <v>5479</v>
      </c>
      <c r="D160" s="200">
        <v>6780</v>
      </c>
      <c r="E160" s="200">
        <v>2300</v>
      </c>
      <c r="F160" s="200">
        <v>362.12</v>
      </c>
      <c r="G160" s="200"/>
      <c r="H160" s="200"/>
      <c r="I160" s="200">
        <f>IF(Cruise!$H160&gt;0,Cruise!$H160,Cruise!$F160)</f>
        <v>362.12</v>
      </c>
      <c r="J160" s="200"/>
      <c r="K160" s="200">
        <v>47.42</v>
      </c>
      <c r="L160" s="200">
        <v>9.3000000000000007</v>
      </c>
      <c r="M160" s="200">
        <v>120000</v>
      </c>
      <c r="N160" s="200">
        <v>226963</v>
      </c>
      <c r="O160" s="200">
        <v>20236</v>
      </c>
      <c r="P160" s="200"/>
      <c r="Q160" s="200">
        <f t="shared" si="16"/>
        <v>0.76092340487265742</v>
      </c>
      <c r="R160" s="200">
        <f t="shared" si="21"/>
        <v>0.7399109934236765</v>
      </c>
      <c r="S160" s="200">
        <f t="shared" si="18"/>
        <v>0.73149668743061802</v>
      </c>
      <c r="T160" s="200">
        <f>(Cruise!$Q160+Cruise!$R160)/2</f>
        <v>0.75041719914816696</v>
      </c>
      <c r="U160" s="196">
        <f t="shared" si="4"/>
        <v>159697.09272000002</v>
      </c>
      <c r="V160" s="196">
        <f t="shared" si="5"/>
        <v>74.689119954749614</v>
      </c>
      <c r="W160" s="196">
        <f t="shared" si="6"/>
        <v>7.6364403205398563</v>
      </c>
      <c r="X160" s="196">
        <f t="shared" si="7"/>
        <v>5.0989247311827954</v>
      </c>
      <c r="Y160" s="196">
        <f t="shared" si="9"/>
        <v>38.93763440860215</v>
      </c>
      <c r="Z160" s="200"/>
      <c r="AA160" s="200"/>
      <c r="AB160" s="200"/>
      <c r="AC160" s="200">
        <v>11.32</v>
      </c>
      <c r="AD160" s="196">
        <f t="shared" si="8"/>
        <v>0.18992654471865639</v>
      </c>
      <c r="AE160" s="204">
        <f>Cruise!$AA160/(Cruise!$AC160^3)</f>
        <v>0</v>
      </c>
      <c r="AF160" s="200"/>
      <c r="AG160" s="200"/>
      <c r="AH160" s="200"/>
      <c r="AI160" s="200"/>
      <c r="AJ160" s="200"/>
      <c r="AK160" s="200"/>
      <c r="AL160" s="200"/>
      <c r="AM160" s="200"/>
      <c r="AN160" s="200"/>
      <c r="AO160" s="200"/>
      <c r="AP160" s="200"/>
      <c r="AQ160" s="200"/>
      <c r="AR160" s="200"/>
      <c r="AS160" s="200"/>
      <c r="AT160" s="200"/>
      <c r="AU160" s="200"/>
      <c r="AV160" s="200"/>
      <c r="AW160" s="205">
        <f>Cruise!$I160/(Cruise!$S160*Cruise!$I160*Cruise!$K160*Cruise!$L160)^(1/3)</f>
        <v>7.4076886517101581</v>
      </c>
      <c r="AX160">
        <f>(Cruise!$S160*Cruise!$I160*Cruise!$K160*Cruise!$L160)*1.025/O160</f>
        <v>5.9170953585147643</v>
      </c>
    </row>
    <row r="161" spans="1:50" x14ac:dyDescent="0.3">
      <c r="A161" s="194" t="s">
        <v>136</v>
      </c>
      <c r="B161" s="195">
        <v>2013</v>
      </c>
      <c r="C161" s="195"/>
      <c r="D161" s="195">
        <v>3959</v>
      </c>
      <c r="E161" s="195">
        <v>1370</v>
      </c>
      <c r="F161" s="195">
        <v>333.33</v>
      </c>
      <c r="G161" s="195"/>
      <c r="H161" s="195"/>
      <c r="I161" s="195">
        <f>IF(Cruise!$H161&gt;0,Cruise!$H161,Cruise!$F161)</f>
        <v>333.33</v>
      </c>
      <c r="J161" s="216"/>
      <c r="K161" s="195">
        <v>38</v>
      </c>
      <c r="L161" s="195">
        <v>8.2899999999999991</v>
      </c>
      <c r="M161" s="216"/>
      <c r="N161" s="195">
        <v>139072</v>
      </c>
      <c r="O161" s="195">
        <v>13188</v>
      </c>
      <c r="P161" s="195"/>
      <c r="Q161" s="195">
        <f t="shared" si="16"/>
        <v>0.73704085732872482</v>
      </c>
      <c r="R161" s="195">
        <f t="shared" si="21"/>
        <v>0.73411949006470723</v>
      </c>
      <c r="S161" s="195">
        <f t="shared" si="18"/>
        <v>0.70049316536905404</v>
      </c>
      <c r="T161" s="195">
        <f>(Cruise!$Q161+Cruise!$R161)/2</f>
        <v>0.73558017369671602</v>
      </c>
      <c r="U161" s="196">
        <f t="shared" si="4"/>
        <v>105005.61659999998</v>
      </c>
      <c r="V161" s="196">
        <f t="shared" si="5"/>
        <v>80.212776039470526</v>
      </c>
      <c r="W161" s="196">
        <f t="shared" si="6"/>
        <v>8.7718421052631577</v>
      </c>
      <c r="X161" s="196">
        <f t="shared" si="7"/>
        <v>4.5838359469240055</v>
      </c>
      <c r="Y161" s="196">
        <f t="shared" si="9"/>
        <v>40.208685162846805</v>
      </c>
      <c r="Z161" s="195"/>
      <c r="AA161" s="195">
        <v>40000</v>
      </c>
      <c r="AB161" s="195">
        <v>22.8</v>
      </c>
      <c r="AC161" s="195">
        <f t="shared" ref="AC161:AC163" si="22">(AB161*0.512)</f>
        <v>11.6736</v>
      </c>
      <c r="AD161" s="196">
        <f t="shared" si="8"/>
        <v>0.20414234682814006</v>
      </c>
      <c r="AE161" s="197">
        <f>Cruise!$AA161/(Cruise!$AC161^3)</f>
        <v>25.144648410454998</v>
      </c>
      <c r="AF161" s="195"/>
      <c r="AG161" s="195"/>
      <c r="AH161" s="195"/>
      <c r="AI161" s="195"/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  <c r="AU161" s="195"/>
      <c r="AV161" s="195"/>
      <c r="AW161" s="198">
        <f>Cruise!$I161/(Cruise!$S161*Cruise!$I161*Cruise!$K161*Cruise!$L161)^(1/3)</f>
        <v>7.95552646958145</v>
      </c>
      <c r="AX161">
        <f>(Cruise!$S161*Cruise!$I161*Cruise!$K161*Cruise!$L161)*1.025/O161</f>
        <v>5.7169100449275749</v>
      </c>
    </row>
    <row r="162" spans="1:50" x14ac:dyDescent="0.3">
      <c r="A162" s="199" t="s">
        <v>137</v>
      </c>
      <c r="B162" s="200">
        <v>1964</v>
      </c>
      <c r="C162" s="200"/>
      <c r="D162" s="200">
        <v>1400</v>
      </c>
      <c r="E162" s="200"/>
      <c r="F162" s="200"/>
      <c r="G162" s="200"/>
      <c r="H162" s="200">
        <v>108.2</v>
      </c>
      <c r="I162" s="200">
        <f>IF(Cruise!$H162&gt;0,Cruise!$H162,Cruise!$F162)</f>
        <v>108.2</v>
      </c>
      <c r="J162" s="200"/>
      <c r="K162" s="200">
        <v>16</v>
      </c>
      <c r="L162" s="200">
        <v>4.5</v>
      </c>
      <c r="M162" s="200"/>
      <c r="N162" s="200"/>
      <c r="O162" s="200">
        <v>680</v>
      </c>
      <c r="P162" s="200"/>
      <c r="Q162" s="200">
        <f t="shared" si="16"/>
        <v>0.64437273568001396</v>
      </c>
      <c r="R162" s="200">
        <f t="shared" si="21"/>
        <v>0.58220686351471285</v>
      </c>
      <c r="S162" s="200">
        <f t="shared" si="18"/>
        <v>0.60684852612368601</v>
      </c>
      <c r="T162" s="200">
        <f>(Cruise!$Q162+Cruise!$R162)/2</f>
        <v>0.61328979959736341</v>
      </c>
      <c r="U162" s="196">
        <f t="shared" si="4"/>
        <v>7790.4000000000005</v>
      </c>
      <c r="V162" s="196">
        <f t="shared" si="5"/>
        <v>65.001273142757711</v>
      </c>
      <c r="W162" s="196">
        <f t="shared" si="6"/>
        <v>6.7625000000000002</v>
      </c>
      <c r="X162" s="196">
        <f t="shared" si="7"/>
        <v>3.5555555555555554</v>
      </c>
      <c r="Y162" s="196">
        <f t="shared" si="9"/>
        <v>24.044444444444444</v>
      </c>
      <c r="Z162" s="200"/>
      <c r="AA162" s="200">
        <v>3300</v>
      </c>
      <c r="AB162" s="200">
        <v>16.5</v>
      </c>
      <c r="AC162" s="200">
        <f t="shared" si="22"/>
        <v>8.4480000000000004</v>
      </c>
      <c r="AD162" s="196">
        <f t="shared" si="8"/>
        <v>0.25930194304761078</v>
      </c>
      <c r="AE162" s="204">
        <f>Cruise!$AA162/(Cruise!$AC162^3)</f>
        <v>5.4733374449394505</v>
      </c>
      <c r="AF162" s="200"/>
      <c r="AG162" s="200"/>
      <c r="AH162" s="200"/>
      <c r="AI162" s="200"/>
      <c r="AJ162" s="200"/>
      <c r="AK162" s="200"/>
      <c r="AL162" s="200"/>
      <c r="AM162" s="200"/>
      <c r="AN162" s="200"/>
      <c r="AO162" s="200"/>
      <c r="AP162" s="200"/>
      <c r="AQ162" s="200" t="s">
        <v>138</v>
      </c>
      <c r="AR162" s="200"/>
      <c r="AS162" s="200"/>
      <c r="AT162" s="200"/>
      <c r="AU162" s="200"/>
      <c r="AV162" s="200"/>
      <c r="AW162" s="205">
        <f>Cruise!$I162/(Cruise!$S162*Cruise!$I162*Cruise!$K162*Cruise!$L162)^(1/3)</f>
        <v>6.4468451857250546</v>
      </c>
      <c r="AX162">
        <f>(Cruise!$S162*Cruise!$I162*Cruise!$K162*Cruise!$L162)*1.025/O162</f>
        <v>7.1261508483261942</v>
      </c>
    </row>
    <row r="163" spans="1:50" x14ac:dyDescent="0.3">
      <c r="A163" s="194" t="s">
        <v>139</v>
      </c>
      <c r="B163" s="195">
        <v>2008</v>
      </c>
      <c r="C163" s="195">
        <v>3634</v>
      </c>
      <c r="D163" s="195">
        <v>4375</v>
      </c>
      <c r="E163" s="195">
        <v>1360</v>
      </c>
      <c r="F163" s="195"/>
      <c r="G163" s="195"/>
      <c r="H163" s="195">
        <v>339</v>
      </c>
      <c r="I163" s="195">
        <f>IF(Cruise!$H163&gt;0,Cruise!$H163,Cruise!$F163)</f>
        <v>339</v>
      </c>
      <c r="J163" s="195"/>
      <c r="K163" s="195">
        <v>56</v>
      </c>
      <c r="L163" s="195">
        <v>8.8000000000000007</v>
      </c>
      <c r="M163" s="195"/>
      <c r="N163" s="195">
        <v>154407</v>
      </c>
      <c r="O163" s="195"/>
      <c r="P163" s="195">
        <v>0.75614462764947477</v>
      </c>
      <c r="Q163" s="195">
        <f t="shared" si="16"/>
        <v>0.75781995260857049</v>
      </c>
      <c r="R163" s="195">
        <f t="shared" si="21"/>
        <v>0.69304618951824282</v>
      </c>
      <c r="S163" s="195">
        <f t="shared" si="18"/>
        <v>0.72726074844308475</v>
      </c>
      <c r="T163" s="195">
        <f>(Cruise!$Q163+Cruise!$R163)/2</f>
        <v>0.72543307106340671</v>
      </c>
      <c r="U163" s="196">
        <f t="shared" si="4"/>
        <v>167059.20000000001</v>
      </c>
      <c r="V163" s="196">
        <f t="shared" si="5"/>
        <v>69.011394737513299</v>
      </c>
      <c r="W163" s="196">
        <f t="shared" si="6"/>
        <v>6.0535714285714288</v>
      </c>
      <c r="X163" s="196">
        <f t="shared" si="7"/>
        <v>6.3636363636363633</v>
      </c>
      <c r="Y163" s="196">
        <f t="shared" si="9"/>
        <v>38.522727272727266</v>
      </c>
      <c r="Z163" s="195"/>
      <c r="AA163" s="195"/>
      <c r="AB163" s="195">
        <v>21.6</v>
      </c>
      <c r="AC163" s="195">
        <f t="shared" si="22"/>
        <v>11.059200000000001</v>
      </c>
      <c r="AD163" s="196">
        <f t="shared" si="8"/>
        <v>0.19177383773299378</v>
      </c>
      <c r="AE163" s="197"/>
      <c r="AF163" s="195"/>
      <c r="AG163" s="195" t="s">
        <v>75</v>
      </c>
      <c r="AH163" s="195" t="s">
        <v>140</v>
      </c>
      <c r="AI163" s="195"/>
      <c r="AJ163" s="195"/>
      <c r="AK163" s="195">
        <v>18</v>
      </c>
      <c r="AL163" s="195">
        <v>15</v>
      </c>
      <c r="AM163" s="195"/>
      <c r="AN163" s="195"/>
      <c r="AO163" s="195" t="s">
        <v>141</v>
      </c>
      <c r="AP163" s="195" t="s">
        <v>78</v>
      </c>
      <c r="AQ163" s="195"/>
      <c r="AR163" s="195"/>
      <c r="AS163" s="195"/>
      <c r="AT163" s="195"/>
      <c r="AU163" s="195"/>
      <c r="AV163" s="195"/>
      <c r="AW163" s="198">
        <f>Cruise!$I163/(Cruise!$S163*Cruise!$I163*Cruise!$K163*Cruise!$L163)^(1/3)</f>
        <v>6.8445702124417434</v>
      </c>
    </row>
    <row r="164" spans="1:50" x14ac:dyDescent="0.3">
      <c r="A164" s="207" t="s">
        <v>139</v>
      </c>
      <c r="B164" s="200"/>
      <c r="C164" s="200"/>
      <c r="D164" s="200"/>
      <c r="E164" s="200"/>
      <c r="F164" s="201">
        <v>339</v>
      </c>
      <c r="G164" s="201">
        <v>339</v>
      </c>
      <c r="H164" s="201">
        <v>339</v>
      </c>
      <c r="I164" s="203">
        <f>IF(Cruise!$H164&gt;0,Cruise!$H164,Cruise!$F164)</f>
        <v>339</v>
      </c>
      <c r="J164" s="200"/>
      <c r="K164" s="201">
        <v>38</v>
      </c>
      <c r="L164" s="201">
        <v>8.6999999999999993</v>
      </c>
      <c r="M164" s="200"/>
      <c r="N164" s="208">
        <v>154407</v>
      </c>
      <c r="O164" s="202">
        <v>10600</v>
      </c>
      <c r="P164" s="200"/>
      <c r="Q164" s="203">
        <f t="shared" si="16"/>
        <v>0.50318025369372976</v>
      </c>
      <c r="R164" s="203">
        <f t="shared" si="21"/>
        <v>0.52177270782313567</v>
      </c>
      <c r="S164" s="203">
        <f t="shared" si="18"/>
        <v>0.51277313257808776</v>
      </c>
      <c r="T164" s="200">
        <f>(Cruise!$Q164+Cruise!$R164)/2</f>
        <v>0.51247648075843277</v>
      </c>
      <c r="U164" s="196">
        <f t="shared" si="4"/>
        <v>112073.4</v>
      </c>
      <c r="V164" s="196">
        <f t="shared" si="5"/>
        <v>88.57239407351409</v>
      </c>
      <c r="W164" s="196">
        <f t="shared" si="6"/>
        <v>8.9210526315789469</v>
      </c>
      <c r="X164" s="196">
        <f t="shared" si="7"/>
        <v>4.3678160919540234</v>
      </c>
      <c r="Y164" s="196">
        <f t="shared" si="9"/>
        <v>38.965517241379317</v>
      </c>
      <c r="Z164" s="203" t="e">
        <f>Cruise!$I164/Cruise!$J164</f>
        <v>#DIV/0!</v>
      </c>
      <c r="AA164" s="200"/>
      <c r="AB164" s="200"/>
      <c r="AC164" s="209">
        <v>19.8</v>
      </c>
      <c r="AD164" s="196">
        <f t="shared" si="8"/>
        <v>0.34334508708706568</v>
      </c>
      <c r="AE164" s="204">
        <f>Cruise!$AA164/(Cruise!$AC164^3)</f>
        <v>0</v>
      </c>
      <c r="AF164" s="200"/>
      <c r="AG164" s="200"/>
      <c r="AH164" s="200"/>
      <c r="AI164" s="200"/>
      <c r="AJ164" s="200"/>
      <c r="AK164" s="200"/>
      <c r="AL164" s="200"/>
      <c r="AM164" s="200"/>
      <c r="AN164" s="200"/>
      <c r="AO164" s="200"/>
      <c r="AP164" s="200"/>
      <c r="AQ164" s="200"/>
      <c r="AR164" s="200"/>
      <c r="AS164" s="200"/>
      <c r="AT164" s="200"/>
      <c r="AU164" s="200"/>
      <c r="AV164" s="200"/>
      <c r="AW164" s="210">
        <f>Cruise!$I164/(Cruise!$S164*Cruise!$I164*Cruise!$K164*Cruise!$L164)^(1/3)</f>
        <v>8.7846358188539195</v>
      </c>
      <c r="AX164">
        <f>(Cruise!$S164*Cruise!$I164*Cruise!$K164*Cruise!$L164)*1.025/O164</f>
        <v>5.5570692553390542</v>
      </c>
    </row>
    <row r="165" spans="1:50" x14ac:dyDescent="0.3">
      <c r="A165" s="194" t="s">
        <v>142</v>
      </c>
      <c r="B165" s="195">
        <v>1998</v>
      </c>
      <c r="C165" s="195"/>
      <c r="D165" s="195">
        <v>684</v>
      </c>
      <c r="E165" s="195">
        <v>400</v>
      </c>
      <c r="F165" s="197">
        <f>D165*0.3048</f>
        <v>208.48320000000001</v>
      </c>
      <c r="G165" s="195"/>
      <c r="H165" s="195"/>
      <c r="I165" s="195">
        <f>IF(Cruise!$H165&gt;0,Cruise!$H165,Cruise!$F165)</f>
        <v>208.48320000000001</v>
      </c>
      <c r="J165" s="197"/>
      <c r="K165" s="197"/>
      <c r="L165" s="195"/>
      <c r="M165" s="195"/>
      <c r="N165" s="195">
        <v>30277</v>
      </c>
      <c r="O165" s="195"/>
      <c r="P165" s="195"/>
      <c r="Q165" s="195">
        <f t="shared" si="16"/>
        <v>0.73764102936461518</v>
      </c>
      <c r="R165" s="195"/>
      <c r="S165" s="195">
        <f t="shared" si="18"/>
        <v>0.70122970653826999</v>
      </c>
      <c r="T165" s="195">
        <f>(Cruise!$Q165+Cruise!$R165)/2</f>
        <v>0.36882051468230759</v>
      </c>
      <c r="U165" s="196"/>
      <c r="V165" s="196"/>
      <c r="W165" s="196"/>
      <c r="X165" s="196"/>
      <c r="Y165" s="196"/>
      <c r="Z165" s="195"/>
      <c r="AA165" s="195"/>
      <c r="AB165" s="195">
        <v>18</v>
      </c>
      <c r="AC165" s="195">
        <f t="shared" ref="AC165:AC168" si="23">(AB165*0.512)</f>
        <v>9.2160000000000011</v>
      </c>
      <c r="AD165" s="196">
        <f t="shared" si="8"/>
        <v>0.20378510156868146</v>
      </c>
      <c r="AE165" s="197"/>
      <c r="AF165" s="195"/>
      <c r="AG165" s="195"/>
      <c r="AH165" s="195"/>
      <c r="AI165" s="195"/>
      <c r="AJ165" s="195"/>
      <c r="AK165" s="195"/>
      <c r="AL165" s="195"/>
      <c r="AM165" s="195"/>
      <c r="AN165" s="195"/>
      <c r="AO165" s="197"/>
      <c r="AP165" s="195"/>
      <c r="AQ165" s="195"/>
      <c r="AR165" s="195"/>
      <c r="AS165" s="195"/>
      <c r="AT165" s="195"/>
      <c r="AU165" s="195"/>
      <c r="AV165" s="195"/>
      <c r="AW165" s="198"/>
    </row>
    <row r="166" spans="1:50" x14ac:dyDescent="0.3">
      <c r="A166" s="199" t="s">
        <v>143</v>
      </c>
      <c r="B166" s="200">
        <v>1989</v>
      </c>
      <c r="C166" s="200"/>
      <c r="D166" s="200">
        <v>2200</v>
      </c>
      <c r="E166" s="200"/>
      <c r="F166" s="200"/>
      <c r="G166" s="200"/>
      <c r="H166" s="200">
        <v>171.2</v>
      </c>
      <c r="I166" s="200">
        <f>IF(Cruise!$H166&gt;0,Cruise!$H166,Cruise!$F166)</f>
        <v>171.2</v>
      </c>
      <c r="J166" s="200"/>
      <c r="K166" s="200">
        <v>27.6</v>
      </c>
      <c r="L166" s="200">
        <v>6.25</v>
      </c>
      <c r="M166" s="200"/>
      <c r="N166" s="200"/>
      <c r="O166" s="200">
        <v>3680</v>
      </c>
      <c r="P166" s="200"/>
      <c r="Q166" s="200">
        <f t="shared" si="16"/>
        <v>0.62873534528348451</v>
      </c>
      <c r="R166" s="200">
        <f t="shared" ref="R166:R182" si="24">(0.23/AD166^(2/3))*((I166/K166)+20)/26</f>
        <v>0.55678705819040053</v>
      </c>
      <c r="S166" s="200">
        <f t="shared" si="18"/>
        <v>0.59414239417602532</v>
      </c>
      <c r="T166" s="200">
        <f>(Cruise!$Q166+Cruise!$R166)/2</f>
        <v>0.59276120173694258</v>
      </c>
      <c r="U166" s="196">
        <f t="shared" si="4"/>
        <v>29532</v>
      </c>
      <c r="V166" s="196">
        <f t="shared" si="5"/>
        <v>66.427908927180056</v>
      </c>
      <c r="W166" s="196">
        <f t="shared" si="6"/>
        <v>6.2028985507246368</v>
      </c>
      <c r="X166" s="196">
        <f t="shared" si="7"/>
        <v>4.4160000000000004</v>
      </c>
      <c r="Y166" s="196">
        <f t="shared" si="9"/>
        <v>27.391999999999999</v>
      </c>
      <c r="Z166" s="200"/>
      <c r="AA166" s="200">
        <v>24000</v>
      </c>
      <c r="AB166" s="200">
        <v>21.5</v>
      </c>
      <c r="AC166" s="200">
        <f t="shared" si="23"/>
        <v>11.008000000000001</v>
      </c>
      <c r="AD166" s="196">
        <f t="shared" si="8"/>
        <v>0.26860991352173547</v>
      </c>
      <c r="AE166" s="204">
        <f>Cruise!$AA166/(Cruise!$AC166^3)</f>
        <v>17.992270801431001</v>
      </c>
      <c r="AF166" s="200"/>
      <c r="AG166" s="200"/>
      <c r="AH166" s="200"/>
      <c r="AI166" s="200"/>
      <c r="AJ166" s="200" t="s">
        <v>107</v>
      </c>
      <c r="AK166" s="200"/>
      <c r="AL166" s="200"/>
      <c r="AM166" s="200"/>
      <c r="AN166" s="200"/>
      <c r="AO166" s="200"/>
      <c r="AP166" s="200"/>
      <c r="AQ166" s="200" t="s">
        <v>89</v>
      </c>
      <c r="AR166" s="200"/>
      <c r="AS166" s="200"/>
      <c r="AT166" s="200"/>
      <c r="AU166" s="200"/>
      <c r="AV166" s="200"/>
      <c r="AW166" s="205">
        <f>Cruise!$I166/(Cruise!$S166*Cruise!$I166*Cruise!$K166*Cruise!$L166)^(1/3)</f>
        <v>6.5883393379763016</v>
      </c>
      <c r="AX166">
        <f>(Cruise!$S166*Cruise!$I166*Cruise!$K166*Cruise!$L166)*1.025/O166</f>
        <v>4.8871925310941675</v>
      </c>
    </row>
    <row r="167" spans="1:50" x14ac:dyDescent="0.3">
      <c r="A167" s="194" t="s">
        <v>144</v>
      </c>
      <c r="B167" s="195">
        <v>1992</v>
      </c>
      <c r="C167" s="195"/>
      <c r="D167" s="195">
        <v>114</v>
      </c>
      <c r="E167" s="195">
        <v>72</v>
      </c>
      <c r="F167" s="195"/>
      <c r="G167" s="195">
        <v>78.8</v>
      </c>
      <c r="H167" s="195">
        <v>90</v>
      </c>
      <c r="I167" s="195">
        <f>IF(Cruise!$H167&gt;0,Cruise!$H167,Cruise!$F167)</f>
        <v>90</v>
      </c>
      <c r="J167" s="195"/>
      <c r="K167" s="195">
        <v>15</v>
      </c>
      <c r="L167" s="195">
        <v>4.2</v>
      </c>
      <c r="M167" s="195">
        <v>2606</v>
      </c>
      <c r="N167" s="195">
        <v>4200</v>
      </c>
      <c r="O167" s="195">
        <v>480</v>
      </c>
      <c r="P167" s="195"/>
      <c r="Q167" s="195">
        <f t="shared" si="16"/>
        <v>0.8455185434580843</v>
      </c>
      <c r="R167" s="195">
        <f t="shared" si="24"/>
        <v>0.85479443950722045</v>
      </c>
      <c r="S167" s="195">
        <f t="shared" si="18"/>
        <v>0.88000315925576544</v>
      </c>
      <c r="T167" s="195">
        <f>(Cruise!$Q167+Cruise!$R167)/2</f>
        <v>0.85015649148265238</v>
      </c>
      <c r="U167" s="196">
        <f t="shared" si="4"/>
        <v>5670</v>
      </c>
      <c r="V167" s="196">
        <f t="shared" si="5"/>
        <v>53.104097753253605</v>
      </c>
      <c r="W167" s="196">
        <f t="shared" si="6"/>
        <v>6</v>
      </c>
      <c r="X167" s="196">
        <f t="shared" si="7"/>
        <v>3.5714285714285712</v>
      </c>
      <c r="Y167" s="196">
        <f t="shared" si="9"/>
        <v>21.428571428571427</v>
      </c>
      <c r="Z167" s="195"/>
      <c r="AA167" s="195">
        <v>3520</v>
      </c>
      <c r="AB167" s="195">
        <v>8.1</v>
      </c>
      <c r="AC167" s="195">
        <f t="shared" si="23"/>
        <v>4.1471999999999998</v>
      </c>
      <c r="AD167" s="196">
        <f t="shared" si="8"/>
        <v>0.13957229556066417</v>
      </c>
      <c r="AE167" s="197">
        <f>Cruise!$AA167/(Cruise!$AC167^3)</f>
        <v>49.348928105230648</v>
      </c>
      <c r="AF167" s="195"/>
      <c r="AG167" s="195"/>
      <c r="AH167" s="195"/>
      <c r="AI167" s="195"/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  <c r="AW167" s="198">
        <f>Cruise!$I167/(Cruise!$S167*Cruise!$I167*Cruise!$K167*Cruise!$L167)^(1/3)</f>
        <v>5.2668798685057734</v>
      </c>
      <c r="AX167">
        <f>(Cruise!$S167*Cruise!$I167*Cruise!$K167*Cruise!$L167)*1.025/O167</f>
        <v>10.654913251676447</v>
      </c>
    </row>
    <row r="168" spans="1:50" x14ac:dyDescent="0.3">
      <c r="A168" s="199" t="s">
        <v>145</v>
      </c>
      <c r="B168" s="200">
        <v>2004</v>
      </c>
      <c r="C168" s="200"/>
      <c r="D168" s="200">
        <v>2110</v>
      </c>
      <c r="E168" s="200"/>
      <c r="F168" s="200"/>
      <c r="G168" s="200"/>
      <c r="H168" s="200">
        <v>293.2</v>
      </c>
      <c r="I168" s="200">
        <f>IF(Cruise!$H168&gt;0,Cruise!$H168,Cruise!$F168)</f>
        <v>293.2</v>
      </c>
      <c r="J168" s="200"/>
      <c r="K168" s="200">
        <v>32.200000000000003</v>
      </c>
      <c r="L168" s="200">
        <v>8.5</v>
      </c>
      <c r="M168" s="200"/>
      <c r="N168" s="200"/>
      <c r="O168" s="200">
        <v>11936</v>
      </c>
      <c r="P168" s="200"/>
      <c r="Q168" s="200">
        <f t="shared" si="16"/>
        <v>0.6950768796258523</v>
      </c>
      <c r="R168" s="200">
        <f t="shared" si="24"/>
        <v>0.68762937150897829</v>
      </c>
      <c r="S168" s="200">
        <f t="shared" si="18"/>
        <v>0.65361940089171411</v>
      </c>
      <c r="T168" s="200">
        <f>(Cruise!$Q168+Cruise!$R168)/2</f>
        <v>0.69135312556741524</v>
      </c>
      <c r="U168" s="196">
        <f t="shared" ref="U168:U230" si="25">I168*K168*L168</f>
        <v>80248.840000000011</v>
      </c>
      <c r="V168" s="196">
        <f t="shared" ref="V168:V230" si="26">I168/((S168*I168*K168*L168/1025)^(1/3))</f>
        <v>78.973979339919836</v>
      </c>
      <c r="W168" s="196">
        <f t="shared" ref="W168:W230" si="27">I168/K168</f>
        <v>9.1055900621117996</v>
      </c>
      <c r="X168" s="196">
        <f t="shared" ref="X168:X230" si="28">K168/L168</f>
        <v>3.7882352941176474</v>
      </c>
      <c r="Y168" s="196">
        <f t="shared" si="9"/>
        <v>34.494117647058822</v>
      </c>
      <c r="Z168" s="200"/>
      <c r="AA168" s="200">
        <v>40000</v>
      </c>
      <c r="AB168" s="200">
        <v>24</v>
      </c>
      <c r="AC168" s="200">
        <f t="shared" si="23"/>
        <v>12.288</v>
      </c>
      <c r="AD168" s="196">
        <f t="shared" ref="AD168:AD231" si="29">AC168/SQRT(I168*9.81)</f>
        <v>0.22912090498461177</v>
      </c>
      <c r="AE168" s="204">
        <f>Cruise!$AA168/(Cruise!$AC168^3)</f>
        <v>21.558392930913854</v>
      </c>
      <c r="AF168" s="200"/>
      <c r="AG168" s="200"/>
      <c r="AH168" s="200"/>
      <c r="AI168" s="200"/>
      <c r="AJ168" s="200"/>
      <c r="AK168" s="200"/>
      <c r="AL168" s="200"/>
      <c r="AM168" s="200"/>
      <c r="AN168" s="200"/>
      <c r="AO168" s="200"/>
      <c r="AP168" s="200"/>
      <c r="AQ168" s="200" t="s">
        <v>91</v>
      </c>
      <c r="AR168" s="200"/>
      <c r="AS168" s="200"/>
      <c r="AT168" s="200"/>
      <c r="AU168" s="200"/>
      <c r="AV168" s="200"/>
      <c r="AW168" s="205">
        <f>Cruise!$I168/(Cruise!$S168*Cruise!$I168*Cruise!$K168*Cruise!$L168)^(1/3)</f>
        <v>7.8326622524291043</v>
      </c>
      <c r="AX168">
        <f>(Cruise!$S168*Cruise!$I168*Cruise!$K168*Cruise!$L168)*1.025/O168</f>
        <v>4.5043149875277653</v>
      </c>
    </row>
    <row r="169" spans="1:50" x14ac:dyDescent="0.3">
      <c r="A169" s="194" t="s">
        <v>146</v>
      </c>
      <c r="B169" s="195">
        <v>2016</v>
      </c>
      <c r="C169" s="195"/>
      <c r="D169" s="195">
        <v>2650</v>
      </c>
      <c r="E169" s="195">
        <v>1036</v>
      </c>
      <c r="F169" s="195">
        <v>297</v>
      </c>
      <c r="G169" s="195"/>
      <c r="H169" s="195"/>
      <c r="I169" s="195">
        <f>IF(Cruise!$H169&gt;0,Cruise!$H169,Cruise!$F169)</f>
        <v>297</v>
      </c>
      <c r="J169" s="195"/>
      <c r="K169" s="195">
        <v>35</v>
      </c>
      <c r="L169" s="195">
        <v>7.95</v>
      </c>
      <c r="M169" s="195"/>
      <c r="N169" s="195">
        <v>99836</v>
      </c>
      <c r="O169" s="195">
        <v>9480</v>
      </c>
      <c r="P169" s="195"/>
      <c r="Q169" s="195">
        <f t="shared" si="16"/>
        <v>0.79179099899878858</v>
      </c>
      <c r="R169" s="195">
        <f t="shared" si="24"/>
        <v>0.81617401376770671</v>
      </c>
      <c r="S169" s="195">
        <f t="shared" si="18"/>
        <v>0.77754370408663664</v>
      </c>
      <c r="T169" s="195">
        <f>(Cruise!$Q169+Cruise!$R169)/2</f>
        <v>0.80398250638324764</v>
      </c>
      <c r="U169" s="196">
        <f t="shared" si="25"/>
        <v>82640.25</v>
      </c>
      <c r="V169" s="196">
        <f t="shared" si="26"/>
        <v>74.763953830131172</v>
      </c>
      <c r="W169" s="196">
        <f t="shared" si="27"/>
        <v>8.4857142857142858</v>
      </c>
      <c r="X169" s="196">
        <f t="shared" si="28"/>
        <v>4.4025157232704402</v>
      </c>
      <c r="Y169" s="196">
        <f t="shared" ref="Y169:Y232" si="30">I169/L169</f>
        <v>37.358490566037737</v>
      </c>
      <c r="Z169" s="195"/>
      <c r="AA169" s="195"/>
      <c r="AB169" s="195"/>
      <c r="AC169" s="195">
        <v>9.26</v>
      </c>
      <c r="AD169" s="196">
        <f t="shared" si="29"/>
        <v>0.17155297678643538</v>
      </c>
      <c r="AE169" s="197">
        <f>Cruise!$AA169/(Cruise!$AC169^3)</f>
        <v>0</v>
      </c>
      <c r="AF169" s="195"/>
      <c r="AG169" s="195"/>
      <c r="AH169" s="195"/>
      <c r="AI169" s="195"/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  <c r="AU169" s="195"/>
      <c r="AV169" s="195"/>
      <c r="AW169" s="198">
        <f>Cruise!$I169/(Cruise!$S169*Cruise!$I169*Cruise!$K169*Cruise!$L169)^(1/3)</f>
        <v>7.4151106972472229</v>
      </c>
      <c r="AX169">
        <f>(Cruise!$S169*Cruise!$I169*Cruise!$K169*Cruise!$L169)*1.025/O169</f>
        <v>6.9475544561114768</v>
      </c>
    </row>
    <row r="170" spans="1:50" x14ac:dyDescent="0.3">
      <c r="A170" s="199" t="s">
        <v>147</v>
      </c>
      <c r="B170" s="200">
        <v>2009</v>
      </c>
      <c r="C170" s="200"/>
      <c r="D170" s="200">
        <v>199</v>
      </c>
      <c r="E170" s="200"/>
      <c r="F170" s="200"/>
      <c r="G170" s="200"/>
      <c r="H170" s="200">
        <v>142</v>
      </c>
      <c r="I170" s="200">
        <f>IF(Cruise!$H170&gt;0,Cruise!$H170,Cruise!$F170)</f>
        <v>142</v>
      </c>
      <c r="J170" s="200"/>
      <c r="K170" s="200">
        <v>18</v>
      </c>
      <c r="L170" s="200">
        <v>4.7</v>
      </c>
      <c r="M170" s="200"/>
      <c r="N170" s="200"/>
      <c r="O170" s="200">
        <v>6000</v>
      </c>
      <c r="P170" s="200"/>
      <c r="Q170" s="200">
        <f t="shared" si="16"/>
        <v>0.71125974687356663</v>
      </c>
      <c r="R170" s="200">
        <f t="shared" si="24"/>
        <v>0.67802366913433976</v>
      </c>
      <c r="S170" s="200">
        <f t="shared" si="18"/>
        <v>0.67068254476865885</v>
      </c>
      <c r="T170" s="200">
        <f>(Cruise!$Q170+Cruise!$R170)/2</f>
        <v>0.6946417080039532</v>
      </c>
      <c r="U170" s="196">
        <f t="shared" si="25"/>
        <v>12013.2</v>
      </c>
      <c r="V170" s="196">
        <f t="shared" si="26"/>
        <v>71.417459285178978</v>
      </c>
      <c r="W170" s="196">
        <f t="shared" si="27"/>
        <v>7.8888888888888893</v>
      </c>
      <c r="X170" s="196">
        <f t="shared" si="28"/>
        <v>3.8297872340425529</v>
      </c>
      <c r="Y170" s="196">
        <f t="shared" si="30"/>
        <v>30.212765957446809</v>
      </c>
      <c r="Z170" s="200"/>
      <c r="AA170" s="200">
        <v>4600</v>
      </c>
      <c r="AB170" s="200">
        <v>16</v>
      </c>
      <c r="AC170" s="200">
        <f t="shared" ref="AC170:AC172" si="31">(AB170*0.512)</f>
        <v>8.1920000000000002</v>
      </c>
      <c r="AD170" s="196">
        <f t="shared" si="29"/>
        <v>0.21948824590859134</v>
      </c>
      <c r="AE170" s="204">
        <f>Cruise!$AA170/(Cruise!$AC170^3)</f>
        <v>8.3673512563109398</v>
      </c>
      <c r="AF170" s="200"/>
      <c r="AG170" s="200"/>
      <c r="AH170" s="200"/>
      <c r="AI170" s="200"/>
      <c r="AJ170" s="200"/>
      <c r="AK170" s="200"/>
      <c r="AL170" s="200"/>
      <c r="AM170" s="200"/>
      <c r="AN170" s="200"/>
      <c r="AO170" s="200"/>
      <c r="AP170" s="200"/>
      <c r="AQ170" s="200" t="s">
        <v>116</v>
      </c>
      <c r="AR170" s="200"/>
      <c r="AS170" s="200"/>
      <c r="AT170" s="200"/>
      <c r="AU170" s="200"/>
      <c r="AV170" s="200"/>
      <c r="AW170" s="205">
        <f>Cruise!$I170/(Cruise!$S170*Cruise!$I170*Cruise!$K170*Cruise!$L170)^(1/3)</f>
        <v>7.0832043944460743</v>
      </c>
      <c r="AX170">
        <f>(Cruise!$S170*Cruise!$I170*Cruise!$K170*Cruise!$L170)*1.025/O170</f>
        <v>1.376411605914204</v>
      </c>
    </row>
    <row r="171" spans="1:50" x14ac:dyDescent="0.3">
      <c r="A171" s="194" t="s">
        <v>148</v>
      </c>
      <c r="B171" s="195">
        <v>1999</v>
      </c>
      <c r="C171" s="195"/>
      <c r="D171" s="195">
        <v>95</v>
      </c>
      <c r="E171" s="195">
        <v>55</v>
      </c>
      <c r="F171" s="195"/>
      <c r="G171" s="195">
        <v>88.5</v>
      </c>
      <c r="H171" s="195">
        <v>100</v>
      </c>
      <c r="I171" s="195">
        <f>IF(Cruise!$H171&gt;0,Cruise!$H171,Cruise!$F171)</f>
        <v>100</v>
      </c>
      <c r="J171" s="195"/>
      <c r="K171" s="195">
        <v>14</v>
      </c>
      <c r="L171" s="195">
        <v>3.22</v>
      </c>
      <c r="M171" s="195"/>
      <c r="N171" s="195">
        <v>3504</v>
      </c>
      <c r="O171" s="195">
        <v>1380</v>
      </c>
      <c r="P171" s="195"/>
      <c r="Q171" s="195">
        <f t="shared" si="16"/>
        <v>0.69552086650194811</v>
      </c>
      <c r="R171" s="195">
        <f t="shared" si="24"/>
        <v>0.64175272337608391</v>
      </c>
      <c r="S171" s="195">
        <f t="shared" si="18"/>
        <v>0.65407216634605803</v>
      </c>
      <c r="T171" s="195">
        <f>(Cruise!$Q171+Cruise!$R171)/2</f>
        <v>0.66863679493901595</v>
      </c>
      <c r="U171" s="196">
        <f t="shared" si="25"/>
        <v>4508</v>
      </c>
      <c r="V171" s="196">
        <f t="shared" si="26"/>
        <v>70.313399647129543</v>
      </c>
      <c r="W171" s="196">
        <f t="shared" si="27"/>
        <v>7.1428571428571432</v>
      </c>
      <c r="X171" s="196">
        <f t="shared" si="28"/>
        <v>4.3478260869565215</v>
      </c>
      <c r="Y171" s="196">
        <f t="shared" si="30"/>
        <v>31.05590062111801</v>
      </c>
      <c r="Z171" s="195"/>
      <c r="AA171" s="195">
        <v>2990</v>
      </c>
      <c r="AB171" s="195">
        <v>14</v>
      </c>
      <c r="AC171" s="195">
        <f t="shared" si="31"/>
        <v>7.1680000000000001</v>
      </c>
      <c r="AD171" s="196">
        <f t="shared" si="29"/>
        <v>0.22885662708217377</v>
      </c>
      <c r="AE171" s="197">
        <f>Cruise!$AA171/(Cruise!$AC171^3)</f>
        <v>8.1185262335285149</v>
      </c>
      <c r="AF171" s="195"/>
      <c r="AG171" s="195"/>
      <c r="AH171" s="195"/>
      <c r="AI171" s="195"/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5"/>
      <c r="AT171" s="195"/>
      <c r="AU171" s="195"/>
      <c r="AV171" s="195"/>
      <c r="AW171" s="198">
        <f>Cruise!$I171/(Cruise!$S171*Cruise!$I171*Cruise!$K171*Cruise!$L171)^(1/3)</f>
        <v>6.9737034382620315</v>
      </c>
      <c r="AX171">
        <f>(Cruise!$S171*Cruise!$I171*Cruise!$K171*Cruise!$L171)*1.025/O171</f>
        <v>2.1900516369820511</v>
      </c>
    </row>
    <row r="172" spans="1:50" x14ac:dyDescent="0.3">
      <c r="A172" s="199" t="s">
        <v>149</v>
      </c>
      <c r="B172" s="200">
        <v>2007</v>
      </c>
      <c r="C172" s="200">
        <v>3634</v>
      </c>
      <c r="D172" s="200">
        <v>4375</v>
      </c>
      <c r="E172" s="200">
        <v>1360</v>
      </c>
      <c r="F172" s="200"/>
      <c r="G172" s="200"/>
      <c r="H172" s="200">
        <v>339</v>
      </c>
      <c r="I172" s="200">
        <f>IF(Cruise!$H172&gt;0,Cruise!$H172,Cruise!$F172)</f>
        <v>339</v>
      </c>
      <c r="J172" s="200"/>
      <c r="K172" s="200">
        <v>56</v>
      </c>
      <c r="L172" s="200">
        <v>8.5299999999999994</v>
      </c>
      <c r="M172" s="200"/>
      <c r="N172" s="200">
        <v>154407</v>
      </c>
      <c r="O172" s="200"/>
      <c r="P172" s="200">
        <v>0.75614462764947477</v>
      </c>
      <c r="Q172" s="200">
        <f t="shared" si="16"/>
        <v>0.75781995260857049</v>
      </c>
      <c r="R172" s="200">
        <f t="shared" si="24"/>
        <v>0.69304618951824282</v>
      </c>
      <c r="S172" s="200">
        <f t="shared" si="18"/>
        <v>0.72726074844308475</v>
      </c>
      <c r="T172" s="200">
        <f>(Cruise!$Q172+Cruise!$R172)/2</f>
        <v>0.72543307106340671</v>
      </c>
      <c r="U172" s="196">
        <f t="shared" si="25"/>
        <v>161933.51999999999</v>
      </c>
      <c r="V172" s="196">
        <f t="shared" si="26"/>
        <v>69.731983440899796</v>
      </c>
      <c r="W172" s="196">
        <f t="shared" si="27"/>
        <v>6.0535714285714288</v>
      </c>
      <c r="X172" s="196">
        <f t="shared" si="28"/>
        <v>6.5650644783118413</v>
      </c>
      <c r="Y172" s="196">
        <f t="shared" si="30"/>
        <v>39.742086752637753</v>
      </c>
      <c r="Z172" s="200"/>
      <c r="AA172" s="200"/>
      <c r="AB172" s="200">
        <v>21.6</v>
      </c>
      <c r="AC172" s="200">
        <f t="shared" si="31"/>
        <v>11.059200000000001</v>
      </c>
      <c r="AD172" s="196">
        <f t="shared" si="29"/>
        <v>0.19177383773299378</v>
      </c>
      <c r="AE172" s="204"/>
      <c r="AF172" s="200"/>
      <c r="AG172" s="200" t="s">
        <v>75</v>
      </c>
      <c r="AH172" s="200" t="s">
        <v>150</v>
      </c>
      <c r="AI172" s="200"/>
      <c r="AJ172" s="200"/>
      <c r="AK172" s="200">
        <v>18</v>
      </c>
      <c r="AL172" s="200">
        <v>15</v>
      </c>
      <c r="AM172" s="200"/>
      <c r="AN172" s="200"/>
      <c r="AO172" s="200" t="s">
        <v>141</v>
      </c>
      <c r="AP172" s="200" t="s">
        <v>78</v>
      </c>
      <c r="AQ172" s="200"/>
      <c r="AR172" s="200"/>
      <c r="AS172" s="200"/>
      <c r="AT172" s="200"/>
      <c r="AU172" s="200"/>
      <c r="AV172" s="200"/>
      <c r="AW172" s="205">
        <f>Cruise!$I172/(Cruise!$S172*Cruise!$I172*Cruise!$K172*Cruise!$L172)^(1/3)</f>
        <v>6.916038409735549</v>
      </c>
    </row>
    <row r="173" spans="1:50" x14ac:dyDescent="0.3">
      <c r="A173" s="211" t="s">
        <v>149</v>
      </c>
      <c r="B173" s="195"/>
      <c r="C173" s="195"/>
      <c r="D173" s="195"/>
      <c r="E173" s="195"/>
      <c r="F173" s="212">
        <v>339</v>
      </c>
      <c r="G173" s="212">
        <v>339</v>
      </c>
      <c r="H173" s="212">
        <v>339</v>
      </c>
      <c r="I173" s="196">
        <f>IF(Cruise!$H173&gt;0,Cruise!$H173,Cruise!$F173)</f>
        <v>339</v>
      </c>
      <c r="J173" s="195"/>
      <c r="K173" s="212">
        <v>38</v>
      </c>
      <c r="L173" s="212">
        <v>8.6999999999999993</v>
      </c>
      <c r="M173" s="195"/>
      <c r="N173" s="213">
        <v>154407</v>
      </c>
      <c r="O173" s="206">
        <v>10600</v>
      </c>
      <c r="P173" s="195"/>
      <c r="Q173" s="196">
        <f t="shared" si="16"/>
        <v>0.55561841244884524</v>
      </c>
      <c r="R173" s="196">
        <f t="shared" si="24"/>
        <v>0.55600216454010465</v>
      </c>
      <c r="S173" s="196">
        <f t="shared" si="18"/>
        <v>0.54295129433194866</v>
      </c>
      <c r="T173" s="195">
        <f>(Cruise!$Q173+Cruise!$R173)/2</f>
        <v>0.55581028849447489</v>
      </c>
      <c r="U173" s="196">
        <f t="shared" si="25"/>
        <v>112073.4</v>
      </c>
      <c r="V173" s="196">
        <f t="shared" si="26"/>
        <v>86.900014036280069</v>
      </c>
      <c r="W173" s="196">
        <f t="shared" si="27"/>
        <v>8.9210526315789469</v>
      </c>
      <c r="X173" s="196">
        <f t="shared" si="28"/>
        <v>4.3678160919540234</v>
      </c>
      <c r="Y173" s="196">
        <f t="shared" si="30"/>
        <v>38.965517241379317</v>
      </c>
      <c r="Z173" s="196" t="e">
        <f>Cruise!$I173/Cruise!$J173</f>
        <v>#DIV/0!</v>
      </c>
      <c r="AA173" s="195"/>
      <c r="AB173" s="195"/>
      <c r="AC173" s="214">
        <v>18</v>
      </c>
      <c r="AD173" s="196">
        <f t="shared" si="29"/>
        <v>0.31213189735187785</v>
      </c>
      <c r="AE173" s="197">
        <f>Cruise!$AA173/(Cruise!$AC173^3)</f>
        <v>0</v>
      </c>
      <c r="AF173" s="195"/>
      <c r="AG173" s="195"/>
      <c r="AH173" s="195"/>
      <c r="AI173" s="195"/>
      <c r="AJ173" s="195"/>
      <c r="AK173" s="195"/>
      <c r="AL173" s="195"/>
      <c r="AM173" s="195"/>
      <c r="AN173" s="195"/>
      <c r="AO173" s="195"/>
      <c r="AP173" s="195"/>
      <c r="AQ173" s="195"/>
      <c r="AR173" s="195"/>
      <c r="AS173" s="195"/>
      <c r="AT173" s="195"/>
      <c r="AU173" s="195"/>
      <c r="AV173" s="195"/>
      <c r="AW173" s="215">
        <f>Cruise!$I173/(Cruise!$S173*Cruise!$I173*Cruise!$K173*Cruise!$L173)^(1/3)</f>
        <v>8.618768680097018</v>
      </c>
      <c r="AX173">
        <f>(Cruise!$S173*Cruise!$I173*Cruise!$K173*Cruise!$L173)*1.025/O173</f>
        <v>5.8841186348996937</v>
      </c>
    </row>
    <row r="174" spans="1:50" x14ac:dyDescent="0.3">
      <c r="A174" s="199" t="s">
        <v>151</v>
      </c>
      <c r="B174" s="200">
        <v>2017</v>
      </c>
      <c r="C174" s="200"/>
      <c r="D174" s="200">
        <v>3560</v>
      </c>
      <c r="E174" s="200">
        <v>1346</v>
      </c>
      <c r="F174" s="200">
        <v>330</v>
      </c>
      <c r="G174" s="200"/>
      <c r="H174" s="200"/>
      <c r="I174" s="200">
        <f>IF(Cruise!$H174&gt;0,Cruise!$H174,Cruise!$F174)</f>
        <v>330</v>
      </c>
      <c r="J174" s="200"/>
      <c r="K174" s="200">
        <v>38.4</v>
      </c>
      <c r="L174" s="200">
        <v>8.4</v>
      </c>
      <c r="M174" s="200"/>
      <c r="N174" s="200">
        <v>144216</v>
      </c>
      <c r="O174" s="200">
        <v>12000</v>
      </c>
      <c r="P174" s="200"/>
      <c r="Q174" s="200">
        <f t="shared" si="16"/>
        <v>0.74634606465942699</v>
      </c>
      <c r="R174" s="200">
        <f t="shared" si="24"/>
        <v>0.74307780671942214</v>
      </c>
      <c r="S174" s="200">
        <f t="shared" si="18"/>
        <v>0.71215016991768709</v>
      </c>
      <c r="T174" s="200">
        <f>(Cruise!$Q174+Cruise!$R174)/2</f>
        <v>0.74471193568942451</v>
      </c>
      <c r="U174" s="196">
        <f t="shared" si="25"/>
        <v>106444.8</v>
      </c>
      <c r="V174" s="196">
        <f t="shared" si="26"/>
        <v>78.618221952095865</v>
      </c>
      <c r="W174" s="196">
        <f t="shared" si="27"/>
        <v>8.59375</v>
      </c>
      <c r="X174" s="196">
        <f t="shared" si="28"/>
        <v>4.5714285714285712</v>
      </c>
      <c r="Y174" s="196">
        <f t="shared" si="30"/>
        <v>39.285714285714285</v>
      </c>
      <c r="Z174" s="200"/>
      <c r="AA174" s="200"/>
      <c r="AB174" s="200"/>
      <c r="AC174" s="200">
        <v>11.3</v>
      </c>
      <c r="AD174" s="196">
        <f t="shared" si="29"/>
        <v>0.19860353294081731</v>
      </c>
      <c r="AE174" s="204">
        <f>Cruise!$AA174/(Cruise!$AC174^3)</f>
        <v>0</v>
      </c>
      <c r="AF174" s="200"/>
      <c r="AG174" s="200"/>
      <c r="AH174" s="200"/>
      <c r="AI174" s="200"/>
      <c r="AJ174" s="200"/>
      <c r="AK174" s="200"/>
      <c r="AL174" s="200"/>
      <c r="AM174" s="200"/>
      <c r="AN174" s="200"/>
      <c r="AO174" s="200"/>
      <c r="AP174" s="200"/>
      <c r="AQ174" s="200"/>
      <c r="AR174" s="200"/>
      <c r="AS174" s="200"/>
      <c r="AT174" s="200"/>
      <c r="AU174" s="200"/>
      <c r="AV174" s="200"/>
      <c r="AW174" s="205">
        <f>Cruise!$I174/(Cruise!$S174*Cruise!$I174*Cruise!$K174*Cruise!$L174)^(1/3)</f>
        <v>7.7973781311790189</v>
      </c>
      <c r="AX174">
        <f>(Cruise!$S174*Cruise!$I174*Cruise!$K174*Cruise!$L174)*1.025/O174</f>
        <v>6.4749832889187973</v>
      </c>
    </row>
    <row r="175" spans="1:50" x14ac:dyDescent="0.3">
      <c r="A175" s="194" t="s">
        <v>152</v>
      </c>
      <c r="B175" s="195">
        <v>1992</v>
      </c>
      <c r="C175" s="195"/>
      <c r="D175" s="195">
        <v>2744</v>
      </c>
      <c r="E175" s="195"/>
      <c r="F175" s="195"/>
      <c r="G175" s="195"/>
      <c r="H175" s="195">
        <v>268.2</v>
      </c>
      <c r="I175" s="195">
        <f>IF(Cruise!$H175&gt;0,Cruise!$H175,Cruise!$F175)</f>
        <v>268.2</v>
      </c>
      <c r="J175" s="195"/>
      <c r="K175" s="195">
        <v>32.299999999999997</v>
      </c>
      <c r="L175" s="195">
        <v>7.6</v>
      </c>
      <c r="M175" s="195"/>
      <c r="N175" s="195"/>
      <c r="O175" s="195">
        <v>6953</v>
      </c>
      <c r="P175" s="195"/>
      <c r="Q175" s="195">
        <f t="shared" si="16"/>
        <v>0.71945970298631323</v>
      </c>
      <c r="R175" s="195">
        <f t="shared" si="24"/>
        <v>0.69849531207118076</v>
      </c>
      <c r="S175" s="195">
        <f t="shared" si="18"/>
        <v>0.67979355984270651</v>
      </c>
      <c r="T175" s="195">
        <f>(Cruise!$Q175+Cruise!$R175)/2</f>
        <v>0.708977507528747</v>
      </c>
      <c r="U175" s="196">
        <f t="shared" si="25"/>
        <v>65837.73599999999</v>
      </c>
      <c r="V175" s="196">
        <f t="shared" si="26"/>
        <v>76.163942642961231</v>
      </c>
      <c r="W175" s="196">
        <f t="shared" si="27"/>
        <v>8.3034055727554179</v>
      </c>
      <c r="X175" s="196">
        <f t="shared" si="28"/>
        <v>4.25</v>
      </c>
      <c r="Y175" s="196">
        <f t="shared" si="30"/>
        <v>35.289473684210527</v>
      </c>
      <c r="Z175" s="195"/>
      <c r="AA175" s="195">
        <v>21844</v>
      </c>
      <c r="AB175" s="195">
        <v>21.5</v>
      </c>
      <c r="AC175" s="195">
        <f t="shared" ref="AC175:AC178" si="32">(AB175*0.512)</f>
        <v>11.008000000000001</v>
      </c>
      <c r="AD175" s="196">
        <f t="shared" si="29"/>
        <v>0.21460731965100405</v>
      </c>
      <c r="AE175" s="197">
        <f>Cruise!$AA175/(Cruise!$AC175^3)</f>
        <v>16.375965141102448</v>
      </c>
      <c r="AF175" s="195"/>
      <c r="AG175" s="195"/>
      <c r="AH175" s="195"/>
      <c r="AI175" s="195"/>
      <c r="AJ175" s="195"/>
      <c r="AK175" s="195"/>
      <c r="AL175" s="195"/>
      <c r="AM175" s="195"/>
      <c r="AN175" s="195"/>
      <c r="AO175" s="195"/>
      <c r="AP175" s="195"/>
      <c r="AQ175" s="195" t="s">
        <v>91</v>
      </c>
      <c r="AR175" s="195"/>
      <c r="AS175" s="195"/>
      <c r="AT175" s="195"/>
      <c r="AU175" s="195"/>
      <c r="AV175" s="195"/>
      <c r="AW175" s="198">
        <f>Cruise!$I175/(Cruise!$S175*Cruise!$I175*Cruise!$K175*Cruise!$L175)^(1/3)</f>
        <v>7.5539619951016563</v>
      </c>
      <c r="AX175">
        <f>(Cruise!$S175*Cruise!$I175*Cruise!$K175*Cruise!$L175)*1.025/O175</f>
        <v>6.5978672012958306</v>
      </c>
    </row>
    <row r="176" spans="1:50" x14ac:dyDescent="0.3">
      <c r="A176" s="199" t="s">
        <v>153</v>
      </c>
      <c r="B176" s="200">
        <v>2011</v>
      </c>
      <c r="C176" s="200"/>
      <c r="D176" s="200">
        <f>2*1250</f>
        <v>2500</v>
      </c>
      <c r="E176" s="200">
        <v>800</v>
      </c>
      <c r="F176" s="200">
        <v>251</v>
      </c>
      <c r="G176" s="200">
        <v>213.36</v>
      </c>
      <c r="H176" s="200"/>
      <c r="I176" s="200">
        <f>IF(Cruise!$H176&gt;0,Cruise!$H176,Cruise!$F176)</f>
        <v>251</v>
      </c>
      <c r="J176" s="204"/>
      <c r="K176" s="200">
        <v>32.200000000000003</v>
      </c>
      <c r="L176" s="217">
        <v>7.32</v>
      </c>
      <c r="M176" s="200"/>
      <c r="N176" s="200">
        <v>66084</v>
      </c>
      <c r="O176" s="200">
        <v>6000</v>
      </c>
      <c r="P176" s="200"/>
      <c r="Q176" s="200">
        <f t="shared" si="16"/>
        <v>0.73331274689733794</v>
      </c>
      <c r="R176" s="200">
        <f t="shared" si="24"/>
        <v>0.70410256029759466</v>
      </c>
      <c r="S176" s="200">
        <f t="shared" si="18"/>
        <v>0.69596373287899405</v>
      </c>
      <c r="T176" s="200">
        <f>(Cruise!$Q176+Cruise!$R176)/2</f>
        <v>0.71870765359746636</v>
      </c>
      <c r="U176" s="196">
        <f t="shared" si="25"/>
        <v>59161.704000000005</v>
      </c>
      <c r="V176" s="196">
        <f t="shared" si="26"/>
        <v>73.289076440347003</v>
      </c>
      <c r="W176" s="196">
        <f t="shared" si="27"/>
        <v>7.7950310559006208</v>
      </c>
      <c r="X176" s="196">
        <f t="shared" si="28"/>
        <v>4.3989071038251364</v>
      </c>
      <c r="Y176" s="196">
        <f t="shared" si="30"/>
        <v>34.289617486338798</v>
      </c>
      <c r="Z176" s="200"/>
      <c r="AA176" s="200"/>
      <c r="AB176" s="200">
        <v>20</v>
      </c>
      <c r="AC176" s="200">
        <f t="shared" si="32"/>
        <v>10.24</v>
      </c>
      <c r="AD176" s="196">
        <f t="shared" si="29"/>
        <v>0.20636146018015603</v>
      </c>
      <c r="AE176" s="204"/>
      <c r="AF176" s="200"/>
      <c r="AG176" s="200"/>
      <c r="AH176" s="200"/>
      <c r="AI176" s="200"/>
      <c r="AJ176" s="200"/>
      <c r="AK176" s="200"/>
      <c r="AL176" s="200"/>
      <c r="AM176" s="200"/>
      <c r="AN176" s="200"/>
      <c r="AO176" s="204"/>
      <c r="AP176" s="200"/>
      <c r="AQ176" s="200"/>
      <c r="AR176" s="200"/>
      <c r="AS176" s="200"/>
      <c r="AT176" s="200"/>
      <c r="AU176" s="200"/>
      <c r="AV176" s="200"/>
      <c r="AW176" s="205">
        <f>Cruise!$I176/(Cruise!$S176*Cruise!$I176*Cruise!$K176*Cruise!$L176)^(1/3)</f>
        <v>7.2688319285378427</v>
      </c>
      <c r="AX176">
        <f>(Cruise!$S176*Cruise!$I176*Cruise!$K176*Cruise!$L176)*1.025/O176</f>
        <v>7.0339600613841951</v>
      </c>
    </row>
    <row r="177" spans="1:50" x14ac:dyDescent="0.3">
      <c r="A177" s="194" t="s">
        <v>154</v>
      </c>
      <c r="B177" s="195">
        <v>2001</v>
      </c>
      <c r="C177" s="195"/>
      <c r="D177" s="195">
        <f>2*700</f>
        <v>1400</v>
      </c>
      <c r="E177" s="218">
        <v>445</v>
      </c>
      <c r="F177" s="195">
        <v>216</v>
      </c>
      <c r="G177" s="195">
        <v>187</v>
      </c>
      <c r="H177" s="195"/>
      <c r="I177" s="195">
        <f>IF(Cruise!$H177&gt;0,Cruise!$H177,Cruise!$F177)</f>
        <v>216</v>
      </c>
      <c r="J177" s="195">
        <v>7</v>
      </c>
      <c r="K177" s="195">
        <v>28.8</v>
      </c>
      <c r="L177" s="195">
        <v>6.4</v>
      </c>
      <c r="M177" s="195">
        <v>17600</v>
      </c>
      <c r="N177" s="195">
        <v>48075</v>
      </c>
      <c r="O177" s="195">
        <v>4700</v>
      </c>
      <c r="P177" s="195"/>
      <c r="Q177" s="195">
        <f t="shared" si="16"/>
        <v>0.70627869292950707</v>
      </c>
      <c r="R177" s="195">
        <f t="shared" si="24"/>
        <v>0.66261530605214713</v>
      </c>
      <c r="S177" s="195">
        <f t="shared" si="18"/>
        <v>0.66530474018767294</v>
      </c>
      <c r="T177" s="195">
        <f>(Cruise!$Q177+Cruise!$R177)/2</f>
        <v>0.6844469994908271</v>
      </c>
      <c r="U177" s="196">
        <f t="shared" si="25"/>
        <v>39813.120000000003</v>
      </c>
      <c r="V177" s="196">
        <f t="shared" si="26"/>
        <v>73.05995988286368</v>
      </c>
      <c r="W177" s="196">
        <f t="shared" si="27"/>
        <v>7.5</v>
      </c>
      <c r="X177" s="196">
        <f t="shared" si="28"/>
        <v>4.5</v>
      </c>
      <c r="Y177" s="196">
        <f t="shared" si="30"/>
        <v>33.75</v>
      </c>
      <c r="Z177" s="195">
        <f>Cruise!$I177/Cruise!$J177</f>
        <v>30.857142857142858</v>
      </c>
      <c r="AA177" s="195"/>
      <c r="AB177" s="195">
        <v>20</v>
      </c>
      <c r="AC177" s="195">
        <f t="shared" si="32"/>
        <v>10.24</v>
      </c>
      <c r="AD177" s="196">
        <f t="shared" si="29"/>
        <v>0.22245315897053158</v>
      </c>
      <c r="AE177" s="197"/>
      <c r="AF177" s="195"/>
      <c r="AG177" s="195"/>
      <c r="AH177" s="195"/>
      <c r="AI177" s="195"/>
      <c r="AJ177" s="195"/>
      <c r="AK177" s="195"/>
      <c r="AL177" s="195"/>
      <c r="AM177" s="195"/>
      <c r="AN177" s="197"/>
      <c r="AO177" s="197"/>
      <c r="AP177" s="195"/>
      <c r="AQ177" s="195"/>
      <c r="AR177" s="195"/>
      <c r="AS177" s="195"/>
      <c r="AT177" s="195"/>
      <c r="AU177" s="195"/>
      <c r="AV177" s="195"/>
      <c r="AW177" s="198">
        <f>Cruise!$I177/(Cruise!$S177*Cruise!$I177*Cruise!$K177*Cruise!$L177)^(1/3)</f>
        <v>7.246108081693527</v>
      </c>
      <c r="AX177">
        <f>(Cruise!$S177*Cruise!$I177*Cruise!$K177*Cruise!$L177)*1.025/O177</f>
        <v>5.7766072115110996</v>
      </c>
    </row>
    <row r="178" spans="1:50" x14ac:dyDescent="0.3">
      <c r="A178" s="199" t="s">
        <v>155</v>
      </c>
      <c r="B178" s="200">
        <v>2003</v>
      </c>
      <c r="C178" s="200">
        <v>3114</v>
      </c>
      <c r="D178" s="200">
        <v>3807</v>
      </c>
      <c r="E178" s="200">
        <v>1185</v>
      </c>
      <c r="F178" s="200"/>
      <c r="G178" s="200"/>
      <c r="H178" s="200">
        <v>310</v>
      </c>
      <c r="I178" s="200">
        <f>IF(Cruise!$H178&gt;0,Cruise!$H178,Cruise!$F178)</f>
        <v>310</v>
      </c>
      <c r="J178" s="200"/>
      <c r="K178" s="200">
        <v>49</v>
      </c>
      <c r="L178" s="200">
        <v>9</v>
      </c>
      <c r="M178" s="200"/>
      <c r="N178" s="200">
        <v>138279</v>
      </c>
      <c r="O178" s="200"/>
      <c r="P178" s="200">
        <v>0.73506359106341868</v>
      </c>
      <c r="Q178" s="200">
        <f t="shared" ref="Q178:Q211" si="33">1.08-1.68*AD178</f>
        <v>0.73684796959942411</v>
      </c>
      <c r="R178" s="200">
        <f t="shared" si="24"/>
        <v>0.67147511797828341</v>
      </c>
      <c r="S178" s="200">
        <f t="shared" ref="S178:S211" si="34">0.27/(AD178^(3/5))</f>
        <v>0.70025688806098763</v>
      </c>
      <c r="T178" s="200">
        <f>(Cruise!$Q178+Cruise!$R178)/2</f>
        <v>0.70416154378885376</v>
      </c>
      <c r="U178" s="196">
        <f t="shared" si="25"/>
        <v>136710</v>
      </c>
      <c r="V178" s="196">
        <f t="shared" si="26"/>
        <v>68.325647814211919</v>
      </c>
      <c r="W178" s="196">
        <f t="shared" si="27"/>
        <v>6.3265306122448983</v>
      </c>
      <c r="X178" s="196">
        <f t="shared" si="28"/>
        <v>5.4444444444444446</v>
      </c>
      <c r="Y178" s="196">
        <f t="shared" si="30"/>
        <v>34.444444444444443</v>
      </c>
      <c r="Z178" s="200"/>
      <c r="AA178" s="200"/>
      <c r="AB178" s="200">
        <v>22</v>
      </c>
      <c r="AC178" s="200">
        <f t="shared" si="32"/>
        <v>11.263999999999999</v>
      </c>
      <c r="AD178" s="196">
        <f t="shared" si="29"/>
        <v>0.20425716095272381</v>
      </c>
      <c r="AE178" s="204"/>
      <c r="AF178" s="200"/>
      <c r="AG178" s="200" t="s">
        <v>75</v>
      </c>
      <c r="AH178" s="200" t="s">
        <v>156</v>
      </c>
      <c r="AI178" s="200"/>
      <c r="AJ178" s="200"/>
      <c r="AK178" s="200"/>
      <c r="AL178" s="200">
        <v>14</v>
      </c>
      <c r="AM178" s="200"/>
      <c r="AN178" s="200"/>
      <c r="AO178" s="200" t="s">
        <v>83</v>
      </c>
      <c r="AP178" s="200" t="s">
        <v>84</v>
      </c>
      <c r="AQ178" s="200"/>
      <c r="AR178" s="200"/>
      <c r="AS178" s="200"/>
      <c r="AT178" s="200"/>
      <c r="AU178" s="200"/>
      <c r="AV178" s="200"/>
      <c r="AW178" s="205">
        <f>Cruise!$I178/(Cruise!$S178*Cruise!$I178*Cruise!$K178*Cruise!$L178)^(1/3)</f>
        <v>6.77655763303577</v>
      </c>
    </row>
    <row r="179" spans="1:50" x14ac:dyDescent="0.3">
      <c r="A179" s="194" t="s">
        <v>157</v>
      </c>
      <c r="B179" s="195">
        <v>2014</v>
      </c>
      <c r="C179" s="195"/>
      <c r="D179" s="195">
        <v>2500</v>
      </c>
      <c r="E179" s="195">
        <v>1000</v>
      </c>
      <c r="F179" s="195">
        <v>296</v>
      </c>
      <c r="G179" s="195"/>
      <c r="H179" s="195"/>
      <c r="I179" s="195">
        <f>IF(Cruise!$H179&gt;0,Cruise!$H179,Cruise!$F179)</f>
        <v>296</v>
      </c>
      <c r="J179" s="195"/>
      <c r="K179" s="195">
        <v>36</v>
      </c>
      <c r="L179" s="195">
        <v>8</v>
      </c>
      <c r="M179" s="195"/>
      <c r="N179" s="195">
        <v>99700</v>
      </c>
      <c r="O179" s="195">
        <v>7900</v>
      </c>
      <c r="P179" s="195"/>
      <c r="Q179" s="195">
        <f t="shared" si="33"/>
        <v>0.74478906438436354</v>
      </c>
      <c r="R179" s="195">
        <f t="shared" si="24"/>
        <v>0.73114991004861263</v>
      </c>
      <c r="S179" s="195">
        <f t="shared" si="34"/>
        <v>0.71016362916849385</v>
      </c>
      <c r="T179" s="195">
        <f>(Cruise!$Q179+Cruise!$R179)/2</f>
        <v>0.73796948721648814</v>
      </c>
      <c r="U179" s="196">
        <f t="shared" si="25"/>
        <v>85248</v>
      </c>
      <c r="V179" s="196">
        <f t="shared" si="26"/>
        <v>76.006743300531596</v>
      </c>
      <c r="W179" s="196">
        <f t="shared" si="27"/>
        <v>8.2222222222222214</v>
      </c>
      <c r="X179" s="196">
        <f t="shared" si="28"/>
        <v>4.5</v>
      </c>
      <c r="Y179" s="196">
        <f t="shared" si="30"/>
        <v>37</v>
      </c>
      <c r="Z179" s="195"/>
      <c r="AA179" s="195">
        <v>28000</v>
      </c>
      <c r="AB179" s="195">
        <v>21</v>
      </c>
      <c r="AC179" s="195">
        <f>(AB179*0.512)</f>
        <v>10.752000000000001</v>
      </c>
      <c r="AD179" s="196">
        <f t="shared" si="29"/>
        <v>0.19953031881883129</v>
      </c>
      <c r="AE179" s="197">
        <f>Cruise!$AA179/(Cruise!$AC179^3)</f>
        <v>22.526320776791614</v>
      </c>
      <c r="AF179" s="195"/>
      <c r="AG179" s="195"/>
      <c r="AH179" s="195"/>
      <c r="AI179" s="195"/>
      <c r="AJ179" s="195"/>
      <c r="AK179" s="195"/>
      <c r="AL179" s="195"/>
      <c r="AM179" s="195"/>
      <c r="AN179" s="195"/>
      <c r="AO179" s="195"/>
      <c r="AP179" s="195"/>
      <c r="AQ179" s="195"/>
      <c r="AR179" s="195"/>
      <c r="AS179" s="195"/>
      <c r="AT179" s="195"/>
      <c r="AU179" s="195"/>
      <c r="AV179" s="195"/>
      <c r="AW179" s="198">
        <f>Cruise!$I179/(Cruise!$S179*Cruise!$I179*Cruise!$K179*Cruise!$L179)^(1/3)</f>
        <v>7.5383709185743442</v>
      </c>
      <c r="AX179">
        <f>(Cruise!$S179*Cruise!$I179*Cruise!$K179*Cruise!$L179)*1.025/O179</f>
        <v>7.8548771880809687</v>
      </c>
    </row>
    <row r="180" spans="1:50" x14ac:dyDescent="0.3">
      <c r="A180" s="199" t="s">
        <v>158</v>
      </c>
      <c r="B180" s="200">
        <v>2017</v>
      </c>
      <c r="C180" s="200"/>
      <c r="D180" s="200">
        <v>4500</v>
      </c>
      <c r="E180" s="200">
        <v>1536</v>
      </c>
      <c r="F180" s="200">
        <v>315.8</v>
      </c>
      <c r="G180" s="200"/>
      <c r="H180" s="200"/>
      <c r="I180" s="200">
        <f>IF(Cruise!$H180&gt;0,Cruise!$H180,Cruise!$F180)</f>
        <v>315.8</v>
      </c>
      <c r="J180" s="200"/>
      <c r="K180" s="200">
        <v>43</v>
      </c>
      <c r="L180" s="200">
        <v>8.75</v>
      </c>
      <c r="M180" s="200"/>
      <c r="N180" s="200">
        <v>171598</v>
      </c>
      <c r="O180" s="200">
        <v>12200</v>
      </c>
      <c r="P180" s="200"/>
      <c r="Q180" s="200">
        <f t="shared" si="33"/>
        <v>0.78027845426238596</v>
      </c>
      <c r="R180" s="200">
        <f t="shared" si="24"/>
        <v>0.76327382088739448</v>
      </c>
      <c r="S180" s="200">
        <f t="shared" si="34"/>
        <v>0.75948387047833621</v>
      </c>
      <c r="T180" s="200">
        <f>(Cruise!$Q180+Cruise!$R180)/2</f>
        <v>0.77177613757489016</v>
      </c>
      <c r="U180" s="196">
        <f t="shared" si="25"/>
        <v>118819.75</v>
      </c>
      <c r="V180" s="196">
        <f t="shared" si="26"/>
        <v>70.987903629925498</v>
      </c>
      <c r="W180" s="196">
        <f t="shared" si="27"/>
        <v>7.344186046511628</v>
      </c>
      <c r="X180" s="196">
        <f t="shared" si="28"/>
        <v>4.9142857142857146</v>
      </c>
      <c r="Y180" s="196">
        <f t="shared" si="30"/>
        <v>36.091428571428573</v>
      </c>
      <c r="Z180" s="200"/>
      <c r="AA180" s="200"/>
      <c r="AB180" s="200"/>
      <c r="AC180" s="200">
        <v>9.93</v>
      </c>
      <c r="AD180" s="196">
        <f t="shared" si="29"/>
        <v>0.17840568198667509</v>
      </c>
      <c r="AE180" s="204">
        <f>Cruise!$AA180/(Cruise!$AC180^3)</f>
        <v>0</v>
      </c>
      <c r="AF180" s="200"/>
      <c r="AG180" s="200"/>
      <c r="AH180" s="200"/>
      <c r="AI180" s="200"/>
      <c r="AJ180" s="200"/>
      <c r="AK180" s="200"/>
      <c r="AL180" s="200"/>
      <c r="AM180" s="200"/>
      <c r="AN180" s="200"/>
      <c r="AO180" s="200"/>
      <c r="AP180" s="200"/>
      <c r="AQ180" s="200"/>
      <c r="AR180" s="200"/>
      <c r="AS180" s="200"/>
      <c r="AT180" s="200"/>
      <c r="AU180" s="200"/>
      <c r="AV180" s="200"/>
      <c r="AW180" s="205">
        <f>Cruise!$I180/(Cruise!$S180*Cruise!$I180*Cruise!$K180*Cruise!$L180)^(1/3)</f>
        <v>7.0406009395569704</v>
      </c>
      <c r="AX180">
        <f>(Cruise!$S180*Cruise!$I180*Cruise!$K180*Cruise!$L180)*1.025/O180</f>
        <v>7.581780795881147</v>
      </c>
    </row>
    <row r="181" spans="1:50" x14ac:dyDescent="0.3">
      <c r="A181" s="194" t="s">
        <v>159</v>
      </c>
      <c r="B181" s="195">
        <v>1990</v>
      </c>
      <c r="C181" s="195"/>
      <c r="D181" s="195">
        <v>164</v>
      </c>
      <c r="E181" s="195">
        <v>100</v>
      </c>
      <c r="F181" s="195"/>
      <c r="G181" s="195">
        <v>98</v>
      </c>
      <c r="H181" s="195">
        <v>111</v>
      </c>
      <c r="I181" s="195">
        <f>IF(Cruise!$H181&gt;0,Cruise!$H181,Cruise!$F181)</f>
        <v>111</v>
      </c>
      <c r="J181" s="195"/>
      <c r="K181" s="195">
        <v>17</v>
      </c>
      <c r="L181" s="195">
        <v>4.8</v>
      </c>
      <c r="M181" s="195"/>
      <c r="N181" s="195">
        <v>6752</v>
      </c>
      <c r="O181" s="195">
        <v>1226</v>
      </c>
      <c r="P181" s="195"/>
      <c r="Q181" s="195">
        <f t="shared" si="33"/>
        <v>0.68900202454321247</v>
      </c>
      <c r="R181" s="195">
        <f t="shared" si="24"/>
        <v>0.62025740415436048</v>
      </c>
      <c r="S181" s="195">
        <f t="shared" si="34"/>
        <v>0.64750723882875383</v>
      </c>
      <c r="T181" s="195">
        <f>(Cruise!$Q181+Cruise!$R181)/2</f>
        <v>0.65462971434878647</v>
      </c>
      <c r="U181" s="196">
        <f t="shared" si="25"/>
        <v>9057.6</v>
      </c>
      <c r="V181" s="196">
        <f t="shared" si="26"/>
        <v>62.059986780787867</v>
      </c>
      <c r="W181" s="196">
        <f t="shared" si="27"/>
        <v>6.5294117647058822</v>
      </c>
      <c r="X181" s="196">
        <f t="shared" si="28"/>
        <v>3.541666666666667</v>
      </c>
      <c r="Y181" s="196">
        <f t="shared" si="30"/>
        <v>23.125</v>
      </c>
      <c r="Z181" s="195"/>
      <c r="AA181" s="195">
        <v>4854</v>
      </c>
      <c r="AB181" s="195">
        <v>15</v>
      </c>
      <c r="AC181" s="195">
        <f t="shared" ref="AC181:AC184" si="35">(AB181*0.512)</f>
        <v>7.68</v>
      </c>
      <c r="AD181" s="196">
        <f t="shared" si="29"/>
        <v>0.23273689015284979</v>
      </c>
      <c r="AE181" s="197">
        <f>Cruise!$AA181/(Cruise!$AC181^3)</f>
        <v>10.71559058295356</v>
      </c>
      <c r="AF181" s="195"/>
      <c r="AG181" s="195"/>
      <c r="AH181" s="195"/>
      <c r="AI181" s="195"/>
      <c r="AJ181" s="195"/>
      <c r="AK181" s="195"/>
      <c r="AL181" s="195"/>
      <c r="AM181" s="195"/>
      <c r="AN181" s="195"/>
      <c r="AO181" s="195"/>
      <c r="AP181" s="195"/>
      <c r="AQ181" s="195"/>
      <c r="AR181" s="195"/>
      <c r="AS181" s="195"/>
      <c r="AT181" s="195"/>
      <c r="AU181" s="195"/>
      <c r="AV181" s="195"/>
      <c r="AW181" s="198">
        <f>Cruise!$I181/(Cruise!$S181*Cruise!$I181*Cruise!$K181*Cruise!$L181)^(1/3)</f>
        <v>6.155127548428025</v>
      </c>
      <c r="AX181">
        <f>(Cruise!$S181*Cruise!$I181*Cruise!$K181*Cruise!$L181)*1.025/O181</f>
        <v>4.9033304286914383</v>
      </c>
    </row>
    <row r="182" spans="1:50" x14ac:dyDescent="0.3">
      <c r="A182" s="199" t="s">
        <v>160</v>
      </c>
      <c r="B182" s="200">
        <v>2010</v>
      </c>
      <c r="C182" s="200"/>
      <c r="D182" s="200">
        <v>500</v>
      </c>
      <c r="E182" s="200"/>
      <c r="F182" s="200"/>
      <c r="G182" s="200"/>
      <c r="H182" s="200">
        <v>200</v>
      </c>
      <c r="I182" s="200">
        <f>IF(Cruise!$H182&gt;0,Cruise!$H182,Cruise!$F182)</f>
        <v>200</v>
      </c>
      <c r="J182" s="200">
        <v>15</v>
      </c>
      <c r="K182" s="200">
        <v>26</v>
      </c>
      <c r="L182" s="200">
        <v>6.5</v>
      </c>
      <c r="M182" s="200"/>
      <c r="N182" s="200"/>
      <c r="O182" s="200">
        <v>2800</v>
      </c>
      <c r="P182" s="200"/>
      <c r="Q182" s="200">
        <f t="shared" si="33"/>
        <v>0.65277916746668518</v>
      </c>
      <c r="R182" s="200">
        <f t="shared" si="24"/>
        <v>0.61031148540756575</v>
      </c>
      <c r="S182" s="200">
        <f t="shared" si="34"/>
        <v>0.61398516792814761</v>
      </c>
      <c r="T182" s="200">
        <f>(Cruise!$Q182+Cruise!$R182)/2</f>
        <v>0.63154532643712546</v>
      </c>
      <c r="U182" s="196">
        <f t="shared" si="25"/>
        <v>33800</v>
      </c>
      <c r="V182" s="196">
        <f t="shared" si="26"/>
        <v>73.380346368107297</v>
      </c>
      <c r="W182" s="196">
        <f t="shared" si="27"/>
        <v>7.6923076923076925</v>
      </c>
      <c r="X182" s="196">
        <f t="shared" si="28"/>
        <v>4</v>
      </c>
      <c r="Y182" s="196">
        <f t="shared" si="30"/>
        <v>30.76923076923077</v>
      </c>
      <c r="Z182" s="200">
        <f>Cruise!$I182/Cruise!$J182</f>
        <v>13.333333333333334</v>
      </c>
      <c r="AA182" s="200"/>
      <c r="AB182" s="200">
        <v>22</v>
      </c>
      <c r="AC182" s="200">
        <f t="shared" si="35"/>
        <v>11.263999999999999</v>
      </c>
      <c r="AD182" s="196">
        <f t="shared" si="29"/>
        <v>0.25429811460316359</v>
      </c>
      <c r="AE182" s="204"/>
      <c r="AF182" s="200"/>
      <c r="AG182" s="200"/>
      <c r="AH182" s="200"/>
      <c r="AI182" s="200"/>
      <c r="AJ182" s="200"/>
      <c r="AK182" s="200"/>
      <c r="AL182" s="200"/>
      <c r="AM182" s="200"/>
      <c r="AN182" s="200"/>
      <c r="AO182" s="200"/>
      <c r="AP182" s="200"/>
      <c r="AQ182" s="200"/>
      <c r="AR182" s="200"/>
      <c r="AS182" s="200"/>
      <c r="AT182" s="200"/>
      <c r="AU182" s="200"/>
      <c r="AV182" s="200"/>
      <c r="AW182" s="205">
        <f>Cruise!$I182/(Cruise!$S182*Cruise!$I182*Cruise!$K182*Cruise!$L182)^(1/3)</f>
        <v>7.2778841065327358</v>
      </c>
      <c r="AX182">
        <f>(Cruise!$S182*Cruise!$I182*Cruise!$K182*Cruise!$L182)*1.025/O182</f>
        <v>7.5969700510252398</v>
      </c>
    </row>
    <row r="183" spans="1:50" x14ac:dyDescent="0.3">
      <c r="A183" s="194" t="s">
        <v>161</v>
      </c>
      <c r="B183" s="195">
        <v>1993</v>
      </c>
      <c r="C183" s="195"/>
      <c r="D183" s="195">
        <v>184</v>
      </c>
      <c r="E183" s="195">
        <v>125</v>
      </c>
      <c r="F183" s="195"/>
      <c r="G183" s="195"/>
      <c r="H183" s="195">
        <v>122.8</v>
      </c>
      <c r="I183" s="195">
        <f>IF(Cruise!$H183&gt;0,Cruise!$H183,Cruise!$F183)</f>
        <v>122.8</v>
      </c>
      <c r="J183" s="195"/>
      <c r="K183" s="195">
        <v>18</v>
      </c>
      <c r="L183" s="195">
        <v>4.91</v>
      </c>
      <c r="M183" s="195"/>
      <c r="N183" s="195">
        <v>8378</v>
      </c>
      <c r="O183" s="195"/>
      <c r="P183" s="195"/>
      <c r="Q183" s="195">
        <f t="shared" si="33"/>
        <v>0.68347959757775323</v>
      </c>
      <c r="R183" s="195">
        <f t="shared" ref="R183:R199" si="36">(0.23/AD183^(2/3))*((I183/K183)+20)/26</f>
        <v>0.6212671730680529</v>
      </c>
      <c r="S183" s="195">
        <f t="shared" si="34"/>
        <v>0.64208128306240775</v>
      </c>
      <c r="T183" s="195">
        <f>(Cruise!$Q183+Cruise!$R183)/2</f>
        <v>0.65237338532290301</v>
      </c>
      <c r="U183" s="196">
        <f t="shared" si="25"/>
        <v>10853.064</v>
      </c>
      <c r="V183" s="196">
        <f t="shared" si="26"/>
        <v>64.82246330037735</v>
      </c>
      <c r="W183" s="196">
        <f t="shared" si="27"/>
        <v>6.822222222222222</v>
      </c>
      <c r="X183" s="196">
        <f t="shared" si="28"/>
        <v>3.6659877800407332</v>
      </c>
      <c r="Y183" s="196">
        <f t="shared" si="30"/>
        <v>25.010183299389002</v>
      </c>
      <c r="Z183" s="195"/>
      <c r="AA183" s="195">
        <v>5880</v>
      </c>
      <c r="AB183" s="195">
        <v>16</v>
      </c>
      <c r="AC183" s="195">
        <f t="shared" si="35"/>
        <v>8.1920000000000002</v>
      </c>
      <c r="AD183" s="196">
        <f t="shared" si="29"/>
        <v>0.23602404906086127</v>
      </c>
      <c r="AE183" s="197">
        <f>Cruise!$AA183/(Cruise!$AC183^3)</f>
        <v>10.695657692849636</v>
      </c>
      <c r="AF183" s="195"/>
      <c r="AG183" s="195"/>
      <c r="AH183" s="195"/>
      <c r="AI183" s="195"/>
      <c r="AJ183" s="195"/>
      <c r="AK183" s="195"/>
      <c r="AL183" s="195"/>
      <c r="AM183" s="195"/>
      <c r="AN183" s="195"/>
      <c r="AO183" s="195"/>
      <c r="AP183" s="195"/>
      <c r="AQ183" s="195"/>
      <c r="AR183" s="195"/>
      <c r="AS183" s="195"/>
      <c r="AT183" s="195"/>
      <c r="AU183" s="195"/>
      <c r="AV183" s="195"/>
      <c r="AW183" s="198">
        <f>Cruise!$I183/(Cruise!$S183*Cruise!$I183*Cruise!$K183*Cruise!$L183)^(1/3)</f>
        <v>6.4291107735239521</v>
      </c>
    </row>
    <row r="184" spans="1:50" x14ac:dyDescent="0.3">
      <c r="A184" s="199" t="s">
        <v>162</v>
      </c>
      <c r="B184" s="200">
        <v>2012</v>
      </c>
      <c r="C184" s="200">
        <v>3478</v>
      </c>
      <c r="D184" s="200">
        <v>3900</v>
      </c>
      <c r="E184" s="200">
        <v>1325</v>
      </c>
      <c r="F184" s="200"/>
      <c r="G184" s="200"/>
      <c r="H184" s="200">
        <v>333</v>
      </c>
      <c r="I184" s="200">
        <f>IF(Cruise!$H184&gt;0,Cruise!$H184,Cruise!$F184)</f>
        <v>333</v>
      </c>
      <c r="J184" s="200"/>
      <c r="K184" s="200">
        <v>38</v>
      </c>
      <c r="L184" s="200">
        <v>8.2899999999999991</v>
      </c>
      <c r="M184" s="200"/>
      <c r="N184" s="200">
        <v>139400</v>
      </c>
      <c r="O184" s="200"/>
      <c r="P184" s="200">
        <v>0.73206115052334986</v>
      </c>
      <c r="Q184" s="200">
        <f t="shared" si="33"/>
        <v>0.74063334447152895</v>
      </c>
      <c r="R184" s="200">
        <f t="shared" si="36"/>
        <v>0.73906810808668688</v>
      </c>
      <c r="S184" s="200">
        <f t="shared" si="34"/>
        <v>0.70493298451046127</v>
      </c>
      <c r="T184" s="200">
        <f>(Cruise!$Q184+Cruise!$R184)/2</f>
        <v>0.73985072627910786</v>
      </c>
      <c r="U184" s="196">
        <f t="shared" si="25"/>
        <v>104901.65999999999</v>
      </c>
      <c r="V184" s="196">
        <f t="shared" si="26"/>
        <v>79.991183866031918</v>
      </c>
      <c r="W184" s="196">
        <f t="shared" si="27"/>
        <v>8.7631578947368425</v>
      </c>
      <c r="X184" s="196">
        <f t="shared" si="28"/>
        <v>4.5838359469240055</v>
      </c>
      <c r="Y184" s="196">
        <f t="shared" si="30"/>
        <v>40.168878166465625</v>
      </c>
      <c r="Z184" s="200"/>
      <c r="AA184" s="200">
        <v>44000</v>
      </c>
      <c r="AB184" s="200">
        <v>22.55</v>
      </c>
      <c r="AC184" s="200">
        <f t="shared" si="35"/>
        <v>11.5456</v>
      </c>
      <c r="AD184" s="196">
        <f t="shared" si="29"/>
        <v>0.20200396162408996</v>
      </c>
      <c r="AE184" s="204">
        <f>Cruise!$AA184/(Cruise!$AC184^3)</f>
        <v>28.589275840138743</v>
      </c>
      <c r="AF184" s="200"/>
      <c r="AG184" s="200"/>
      <c r="AH184" s="200"/>
      <c r="AI184" s="200"/>
      <c r="AJ184" s="200"/>
      <c r="AK184" s="200">
        <v>18</v>
      </c>
      <c r="AL184" s="200">
        <v>13</v>
      </c>
      <c r="AM184" s="200"/>
      <c r="AN184" s="200"/>
      <c r="AO184" s="200"/>
      <c r="AP184" s="200"/>
      <c r="AQ184" s="200"/>
      <c r="AR184" s="200"/>
      <c r="AS184" s="200"/>
      <c r="AT184" s="200"/>
      <c r="AU184" s="200"/>
      <c r="AV184" s="200"/>
      <c r="AW184" s="205">
        <f>Cruise!$I184/(Cruise!$S184*Cruise!$I184*Cruise!$K184*Cruise!$L184)^(1/3)</f>
        <v>7.9335488933362903</v>
      </c>
    </row>
    <row r="185" spans="1:50" x14ac:dyDescent="0.3">
      <c r="A185" s="211" t="s">
        <v>162</v>
      </c>
      <c r="B185" s="195"/>
      <c r="C185" s="195"/>
      <c r="D185" s="195"/>
      <c r="E185" s="195"/>
      <c r="F185" s="212">
        <v>333</v>
      </c>
      <c r="G185" s="212">
        <v>333</v>
      </c>
      <c r="H185" s="212">
        <v>333</v>
      </c>
      <c r="I185" s="196">
        <f>IF(Cruise!$H185&gt;0,Cruise!$H185,Cruise!$F185)</f>
        <v>333</v>
      </c>
      <c r="J185" s="195"/>
      <c r="K185" s="212">
        <v>38</v>
      </c>
      <c r="L185" s="212">
        <v>8.6</v>
      </c>
      <c r="M185" s="195"/>
      <c r="N185" s="213">
        <v>139072</v>
      </c>
      <c r="O185" s="206">
        <v>13188</v>
      </c>
      <c r="P185" s="195"/>
      <c r="Q185" s="196">
        <f t="shared" si="33"/>
        <v>0.3392814821821758</v>
      </c>
      <c r="R185" s="196">
        <f t="shared" si="36"/>
        <v>0.43923314650243939</v>
      </c>
      <c r="S185" s="196">
        <f t="shared" si="34"/>
        <v>0.44132386397791618</v>
      </c>
      <c r="T185" s="196"/>
      <c r="U185" s="196">
        <f t="shared" si="25"/>
        <v>108824.4</v>
      </c>
      <c r="V185" s="196">
        <f t="shared" si="26"/>
        <v>92.368585036708694</v>
      </c>
      <c r="W185" s="196">
        <f t="shared" si="27"/>
        <v>8.7631578947368425</v>
      </c>
      <c r="X185" s="196">
        <f t="shared" si="28"/>
        <v>4.4186046511627906</v>
      </c>
      <c r="Y185" s="196">
        <f t="shared" si="30"/>
        <v>38.720930232558139</v>
      </c>
      <c r="Z185" s="196" t="e">
        <f>Cruise!$I185/Cruise!$J185</f>
        <v>#DIV/0!</v>
      </c>
      <c r="AA185" s="195"/>
      <c r="AB185" s="195"/>
      <c r="AC185" s="214">
        <v>25.2</v>
      </c>
      <c r="AD185" s="196">
        <f t="shared" si="29"/>
        <v>0.44090387965346683</v>
      </c>
      <c r="AE185" s="197">
        <f>Cruise!$AA185/(Cruise!$AC185^3)</f>
        <v>0</v>
      </c>
      <c r="AF185" s="195"/>
      <c r="AG185" s="195"/>
      <c r="AH185" s="195"/>
      <c r="AI185" s="195"/>
      <c r="AJ185" s="195"/>
      <c r="AK185" s="195"/>
      <c r="AL185" s="195"/>
      <c r="AM185" s="195"/>
      <c r="AN185" s="195"/>
      <c r="AO185" s="195"/>
      <c r="AP185" s="195"/>
      <c r="AQ185" s="195"/>
      <c r="AR185" s="195"/>
      <c r="AS185" s="195"/>
      <c r="AT185" s="195"/>
      <c r="AU185" s="195"/>
      <c r="AV185" s="195"/>
      <c r="AW185" s="215">
        <f>Cruise!$I185/(Cruise!$S185*Cruise!$I185*Cruise!$K185*Cruise!$L185)^(1/3)</f>
        <v>9.1611431432783945</v>
      </c>
      <c r="AX185">
        <f>(Cruise!$S185*Cruise!$I185*Cruise!$K185*Cruise!$L185)*1.025/O185</f>
        <v>3.7327475599526312</v>
      </c>
    </row>
    <row r="186" spans="1:50" x14ac:dyDescent="0.3">
      <c r="A186" s="199" t="s">
        <v>163</v>
      </c>
      <c r="B186" s="200">
        <v>2008</v>
      </c>
      <c r="C186" s="200">
        <v>3274</v>
      </c>
      <c r="D186" s="200">
        <v>3900</v>
      </c>
      <c r="E186" s="200">
        <v>1313</v>
      </c>
      <c r="F186" s="200"/>
      <c r="G186" s="200"/>
      <c r="H186" s="200">
        <v>333</v>
      </c>
      <c r="I186" s="200">
        <f>IF(Cruise!$H186&gt;0,Cruise!$H186,Cruise!$F186)</f>
        <v>333</v>
      </c>
      <c r="J186" s="200"/>
      <c r="K186" s="200">
        <v>38</v>
      </c>
      <c r="L186" s="200">
        <v>8.65</v>
      </c>
      <c r="M186" s="200"/>
      <c r="N186" s="200">
        <v>137936</v>
      </c>
      <c r="O186" s="200"/>
      <c r="P186" s="200">
        <v>0.76231670265175411</v>
      </c>
      <c r="Q186" s="200">
        <f t="shared" si="33"/>
        <v>0.76396009906439499</v>
      </c>
      <c r="R186" s="200">
        <f t="shared" si="36"/>
        <v>0.77500165488295214</v>
      </c>
      <c r="S186" s="200">
        <f t="shared" si="34"/>
        <v>0.73570580532786667</v>
      </c>
      <c r="T186" s="200">
        <f>(Cruise!$Q186+Cruise!$R186)/2</f>
        <v>0.76948087697367362</v>
      </c>
      <c r="U186" s="196">
        <f t="shared" si="25"/>
        <v>109457.1</v>
      </c>
      <c r="V186" s="196">
        <f t="shared" si="26"/>
        <v>77.750432780254997</v>
      </c>
      <c r="W186" s="196">
        <f t="shared" si="27"/>
        <v>8.7631578947368425</v>
      </c>
      <c r="X186" s="196">
        <f t="shared" si="28"/>
        <v>4.3930635838150289</v>
      </c>
      <c r="Y186" s="196">
        <f t="shared" si="30"/>
        <v>38.497109826589593</v>
      </c>
      <c r="Z186" s="200"/>
      <c r="AA186" s="200"/>
      <c r="AB186" s="200">
        <v>21</v>
      </c>
      <c r="AC186" s="200">
        <f>(AB186*0.512)</f>
        <v>10.752000000000001</v>
      </c>
      <c r="AD186" s="196">
        <f t="shared" si="29"/>
        <v>0.18811898865214588</v>
      </c>
      <c r="AE186" s="204"/>
      <c r="AF186" s="200"/>
      <c r="AG186" s="200" t="s">
        <v>75</v>
      </c>
      <c r="AH186" s="200" t="s">
        <v>164</v>
      </c>
      <c r="AI186" s="200"/>
      <c r="AJ186" s="200"/>
      <c r="AK186" s="200">
        <v>18</v>
      </c>
      <c r="AL186" s="200">
        <v>13</v>
      </c>
      <c r="AM186" s="200"/>
      <c r="AN186" s="200"/>
      <c r="AO186" s="200" t="s">
        <v>165</v>
      </c>
      <c r="AP186" s="200" t="s">
        <v>166</v>
      </c>
      <c r="AQ186" s="200"/>
      <c r="AR186" s="200"/>
      <c r="AS186" s="200"/>
      <c r="AT186" s="200"/>
      <c r="AU186" s="200"/>
      <c r="AV186" s="200"/>
      <c r="AW186" s="205">
        <f>Cruise!$I186/(Cruise!$S186*Cruise!$I186*Cruise!$K186*Cruise!$L186)^(1/3)</f>
        <v>7.7113105485884477</v>
      </c>
    </row>
    <row r="187" spans="1:50" x14ac:dyDescent="0.3">
      <c r="A187" s="194" t="s">
        <v>167</v>
      </c>
      <c r="B187" s="195">
        <v>2013</v>
      </c>
      <c r="C187" s="195">
        <v>3478</v>
      </c>
      <c r="D187" s="195">
        <v>3959</v>
      </c>
      <c r="E187" s="195">
        <v>1370</v>
      </c>
      <c r="F187" s="195"/>
      <c r="G187" s="195"/>
      <c r="H187" s="195">
        <v>333</v>
      </c>
      <c r="I187" s="195">
        <f>IF(Cruise!$H187&gt;0,Cruise!$H187,Cruise!$F187)</f>
        <v>333</v>
      </c>
      <c r="J187" s="195"/>
      <c r="K187" s="195">
        <v>38</v>
      </c>
      <c r="L187" s="195">
        <v>8.2899999999999991</v>
      </c>
      <c r="M187" s="195"/>
      <c r="N187" s="195">
        <v>139072</v>
      </c>
      <c r="O187" s="195"/>
      <c r="P187" s="195">
        <v>0.72147170727840826</v>
      </c>
      <c r="Q187" s="195">
        <f t="shared" si="33"/>
        <v>0.72332639751553152</v>
      </c>
      <c r="R187" s="195">
        <f t="shared" si="36"/>
        <v>0.71496249807388723</v>
      </c>
      <c r="S187" s="195">
        <f t="shared" si="34"/>
        <v>0.68420580135852371</v>
      </c>
      <c r="T187" s="195">
        <f>(Cruise!$Q187+Cruise!$R187)/2</f>
        <v>0.71914444779470932</v>
      </c>
      <c r="U187" s="196">
        <f t="shared" si="25"/>
        <v>104901.65999999999</v>
      </c>
      <c r="V187" s="196">
        <f t="shared" si="26"/>
        <v>80.790907104991859</v>
      </c>
      <c r="W187" s="196">
        <f t="shared" si="27"/>
        <v>8.7631578947368425</v>
      </c>
      <c r="X187" s="196">
        <f t="shared" si="28"/>
        <v>4.5838359469240055</v>
      </c>
      <c r="Y187" s="196">
        <f t="shared" si="30"/>
        <v>40.168878166465625</v>
      </c>
      <c r="Z187" s="195"/>
      <c r="AA187" s="195"/>
      <c r="AB187" s="195">
        <v>23.7</v>
      </c>
      <c r="AC187" s="195">
        <f>(AB187*0.512)</f>
        <v>12.134399999999999</v>
      </c>
      <c r="AD187" s="196">
        <f t="shared" si="29"/>
        <v>0.21230571576456461</v>
      </c>
      <c r="AE187" s="197"/>
      <c r="AF187" s="195"/>
      <c r="AG187" s="195"/>
      <c r="AH187" s="195"/>
      <c r="AI187" s="195"/>
      <c r="AJ187" s="195"/>
      <c r="AK187" s="195">
        <v>18</v>
      </c>
      <c r="AL187" s="195">
        <v>13</v>
      </c>
      <c r="AM187" s="195"/>
      <c r="AN187" s="195"/>
      <c r="AO187" s="195"/>
      <c r="AP187" s="195"/>
      <c r="AQ187" s="195"/>
      <c r="AR187" s="195"/>
      <c r="AS187" s="195"/>
      <c r="AT187" s="195"/>
      <c r="AU187" s="195"/>
      <c r="AV187" s="195"/>
      <c r="AW187" s="198">
        <f>Cruise!$I187/(Cruise!$S187*Cruise!$I187*Cruise!$K187*Cruise!$L187)^(1/3)</f>
        <v>8.0128656768964923</v>
      </c>
    </row>
    <row r="188" spans="1:50" x14ac:dyDescent="0.3">
      <c r="A188" s="207" t="s">
        <v>167</v>
      </c>
      <c r="B188" s="200"/>
      <c r="C188" s="200"/>
      <c r="D188" s="200"/>
      <c r="E188" s="200"/>
      <c r="F188" s="201">
        <v>333</v>
      </c>
      <c r="G188" s="201">
        <v>333</v>
      </c>
      <c r="H188" s="201">
        <v>333</v>
      </c>
      <c r="I188" s="203">
        <f>IF(Cruise!$H188&gt;0,Cruise!$H188,Cruise!$F188)</f>
        <v>333</v>
      </c>
      <c r="J188" s="200"/>
      <c r="K188" s="201">
        <v>50</v>
      </c>
      <c r="L188" s="201">
        <v>8.6</v>
      </c>
      <c r="M188" s="200"/>
      <c r="N188" s="208">
        <v>139072</v>
      </c>
      <c r="O188" s="202">
        <v>13188</v>
      </c>
      <c r="P188" s="200"/>
      <c r="Q188" s="203">
        <f t="shared" si="33"/>
        <v>0.65085355713729243</v>
      </c>
      <c r="R188" s="203">
        <f t="shared" si="36"/>
        <v>0.58580149572603812</v>
      </c>
      <c r="S188" s="203">
        <f t="shared" si="34"/>
        <v>0.61233068456269968</v>
      </c>
      <c r="T188" s="203">
        <f>(Cruise!$Q188+Cruise!$R188)/2</f>
        <v>0.61832752643166522</v>
      </c>
      <c r="U188" s="196">
        <f t="shared" si="25"/>
        <v>143190</v>
      </c>
      <c r="V188" s="196">
        <f t="shared" si="26"/>
        <v>75.576356558088193</v>
      </c>
      <c r="W188" s="196">
        <f t="shared" si="27"/>
        <v>6.66</v>
      </c>
      <c r="X188" s="196">
        <f t="shared" si="28"/>
        <v>5.8139534883720936</v>
      </c>
      <c r="Y188" s="196">
        <f t="shared" si="30"/>
        <v>38.720930232558139</v>
      </c>
      <c r="Z188" s="203" t="e">
        <f>Cruise!$I188/Cruise!$J188</f>
        <v>#DIV/0!</v>
      </c>
      <c r="AA188" s="200"/>
      <c r="AB188" s="200"/>
      <c r="AC188" s="209">
        <v>14.6</v>
      </c>
      <c r="AD188" s="196">
        <f t="shared" si="29"/>
        <v>0.2554443112278022</v>
      </c>
      <c r="AE188" s="204">
        <f>Cruise!$AA188/(Cruise!$AC188^3)</f>
        <v>0</v>
      </c>
      <c r="AF188" s="200"/>
      <c r="AG188" s="200"/>
      <c r="AH188" s="200"/>
      <c r="AI188" s="200"/>
      <c r="AJ188" s="200"/>
      <c r="AK188" s="200"/>
      <c r="AL188" s="200"/>
      <c r="AM188" s="200"/>
      <c r="AN188" s="200"/>
      <c r="AO188" s="200"/>
      <c r="AP188" s="200"/>
      <c r="AQ188" s="200"/>
      <c r="AR188" s="200"/>
      <c r="AS188" s="200"/>
      <c r="AT188" s="200"/>
      <c r="AU188" s="200"/>
      <c r="AV188" s="200"/>
      <c r="AW188" s="210">
        <f>Cruise!$I188/(Cruise!$S188*Cruise!$I188*Cruise!$K188*Cruise!$L188)^(1/3)</f>
        <v>7.4956850362158933</v>
      </c>
      <c r="AX188">
        <f>(Cruise!$S188*Cruise!$I188*Cruise!$K188*Cruise!$L188)*1.025/O188</f>
        <v>6.8146513110855542</v>
      </c>
    </row>
    <row r="189" spans="1:50" x14ac:dyDescent="0.3">
      <c r="A189" s="194" t="s">
        <v>168</v>
      </c>
      <c r="B189" s="195">
        <v>2009</v>
      </c>
      <c r="C189" s="195">
        <v>3274</v>
      </c>
      <c r="D189" s="195">
        <v>3900</v>
      </c>
      <c r="E189" s="195">
        <v>1313</v>
      </c>
      <c r="F189" s="195"/>
      <c r="G189" s="195"/>
      <c r="H189" s="195">
        <v>333</v>
      </c>
      <c r="I189" s="195">
        <f>IF(Cruise!$H189&gt;0,Cruise!$H189,Cruise!$F189)</f>
        <v>333</v>
      </c>
      <c r="J189" s="195"/>
      <c r="K189" s="195">
        <v>38</v>
      </c>
      <c r="L189" s="195">
        <v>8.2899999999999991</v>
      </c>
      <c r="M189" s="195"/>
      <c r="N189" s="195">
        <v>137936</v>
      </c>
      <c r="O189" s="195"/>
      <c r="P189" s="195">
        <v>0.76231670265175411</v>
      </c>
      <c r="Q189" s="195">
        <f t="shared" si="33"/>
        <v>0.76396009906439499</v>
      </c>
      <c r="R189" s="195">
        <f t="shared" si="36"/>
        <v>0.77500165488295214</v>
      </c>
      <c r="S189" s="195">
        <f t="shared" si="34"/>
        <v>0.73570580532786667</v>
      </c>
      <c r="T189" s="195">
        <f>(Cruise!$Q189+Cruise!$R189)/2</f>
        <v>0.76948087697367362</v>
      </c>
      <c r="U189" s="196">
        <f t="shared" si="25"/>
        <v>104901.65999999999</v>
      </c>
      <c r="V189" s="196">
        <f t="shared" si="26"/>
        <v>78.85998208554112</v>
      </c>
      <c r="W189" s="196">
        <f t="shared" si="27"/>
        <v>8.7631578947368425</v>
      </c>
      <c r="X189" s="196">
        <f t="shared" si="28"/>
        <v>4.5838359469240055</v>
      </c>
      <c r="Y189" s="196">
        <f t="shared" si="30"/>
        <v>40.168878166465625</v>
      </c>
      <c r="Z189" s="195"/>
      <c r="AA189" s="195"/>
      <c r="AB189" s="195">
        <v>21</v>
      </c>
      <c r="AC189" s="195">
        <f>(AB189*0.512)</f>
        <v>10.752000000000001</v>
      </c>
      <c r="AD189" s="196">
        <f t="shared" si="29"/>
        <v>0.18811898865214588</v>
      </c>
      <c r="AE189" s="197"/>
      <c r="AF189" s="195"/>
      <c r="AG189" s="195" t="s">
        <v>75</v>
      </c>
      <c r="AH189" s="195" t="s">
        <v>169</v>
      </c>
      <c r="AI189" s="195"/>
      <c r="AJ189" s="195"/>
      <c r="AK189" s="195">
        <v>18</v>
      </c>
      <c r="AL189" s="195">
        <v>13</v>
      </c>
      <c r="AM189" s="195"/>
      <c r="AN189" s="195"/>
      <c r="AO189" s="195" t="s">
        <v>170</v>
      </c>
      <c r="AP189" s="195" t="s">
        <v>166</v>
      </c>
      <c r="AQ189" s="195"/>
      <c r="AR189" s="195"/>
      <c r="AS189" s="195"/>
      <c r="AT189" s="195"/>
      <c r="AU189" s="195"/>
      <c r="AV189" s="195"/>
      <c r="AW189" s="198">
        <f>Cruise!$I189/(Cruise!$S189*Cruise!$I189*Cruise!$K189*Cruise!$L189)^(1/3)</f>
        <v>7.8213559715665237</v>
      </c>
    </row>
    <row r="190" spans="1:50" x14ac:dyDescent="0.3">
      <c r="A190" s="207" t="s">
        <v>168</v>
      </c>
      <c r="B190" s="200"/>
      <c r="C190" s="200"/>
      <c r="D190" s="200"/>
      <c r="E190" s="200"/>
      <c r="F190" s="201">
        <v>333</v>
      </c>
      <c r="G190" s="201">
        <v>333</v>
      </c>
      <c r="H190" s="201">
        <v>333</v>
      </c>
      <c r="I190" s="203">
        <f>IF(Cruise!$H190&gt;0,Cruise!$H190,Cruise!$F190)</f>
        <v>333</v>
      </c>
      <c r="J190" s="200"/>
      <c r="K190" s="201">
        <v>50</v>
      </c>
      <c r="L190" s="201">
        <v>8.2899999999999991</v>
      </c>
      <c r="M190" s="200"/>
      <c r="N190" s="208">
        <v>137936</v>
      </c>
      <c r="O190" s="202">
        <v>13413</v>
      </c>
      <c r="P190" s="200"/>
      <c r="Q190" s="203">
        <f t="shared" si="33"/>
        <v>0.54503662602046032</v>
      </c>
      <c r="R190" s="203">
        <f t="shared" si="36"/>
        <v>0.50575259689897423</v>
      </c>
      <c r="S190" s="203">
        <f t="shared" si="34"/>
        <v>0.5364816893235238</v>
      </c>
      <c r="T190" s="203">
        <f>(Cruise!$Q190+Cruise!$R190)/2</f>
        <v>0.52539461145971722</v>
      </c>
      <c r="U190" s="196">
        <f t="shared" si="25"/>
        <v>138028.5</v>
      </c>
      <c r="V190" s="196">
        <f t="shared" si="26"/>
        <v>79.954755207213154</v>
      </c>
      <c r="W190" s="196">
        <f t="shared" si="27"/>
        <v>6.66</v>
      </c>
      <c r="X190" s="196">
        <f t="shared" si="28"/>
        <v>6.0313630880579021</v>
      </c>
      <c r="Y190" s="196">
        <f t="shared" si="30"/>
        <v>40.168878166465625</v>
      </c>
      <c r="Z190" s="203" t="e">
        <f>Cruise!$I190/Cruise!$J190</f>
        <v>#DIV/0!</v>
      </c>
      <c r="AA190" s="200"/>
      <c r="AB190" s="200"/>
      <c r="AC190" s="209">
        <v>18.2</v>
      </c>
      <c r="AD190" s="196">
        <f t="shared" si="29"/>
        <v>0.31843057974972605</v>
      </c>
      <c r="AE190" s="204">
        <f>Cruise!$AA190/(Cruise!$AC190^3)</f>
        <v>0</v>
      </c>
      <c r="AF190" s="200"/>
      <c r="AG190" s="200"/>
      <c r="AH190" s="200"/>
      <c r="AI190" s="200"/>
      <c r="AJ190" s="200"/>
      <c r="AK190" s="200"/>
      <c r="AL190" s="200"/>
      <c r="AM190" s="200"/>
      <c r="AN190" s="204"/>
      <c r="AO190" s="204"/>
      <c r="AP190" s="200"/>
      <c r="AQ190" s="200"/>
      <c r="AR190" s="200"/>
      <c r="AS190" s="200"/>
      <c r="AT190" s="200"/>
      <c r="AU190" s="200"/>
      <c r="AV190" s="200"/>
      <c r="AW190" s="210">
        <f>Cruise!$I190/(Cruise!$S190*Cruise!$I190*Cruise!$K190*Cruise!$L190)^(1/3)</f>
        <v>7.9299358883538753</v>
      </c>
      <c r="AX190">
        <f>(Cruise!$S190*Cruise!$I190*Cruise!$K190*Cruise!$L190)*1.025/O190</f>
        <v>5.6587644021592318</v>
      </c>
    </row>
    <row r="191" spans="1:50" x14ac:dyDescent="0.3">
      <c r="A191" s="194" t="s">
        <v>171</v>
      </c>
      <c r="B191" s="195">
        <v>1992</v>
      </c>
      <c r="C191" s="195"/>
      <c r="D191" s="195">
        <v>208</v>
      </c>
      <c r="E191" s="195">
        <v>164</v>
      </c>
      <c r="F191" s="195"/>
      <c r="G191" s="195">
        <v>112.4</v>
      </c>
      <c r="H191" s="195">
        <v>135</v>
      </c>
      <c r="I191" s="195">
        <f>IF(Cruise!$H191&gt;0,Cruise!$H191,Cruise!$F191)</f>
        <v>135</v>
      </c>
      <c r="J191" s="195"/>
      <c r="K191" s="195">
        <v>19.600000000000001</v>
      </c>
      <c r="L191" s="195">
        <v>5.2</v>
      </c>
      <c r="M191" s="195"/>
      <c r="N191" s="195">
        <v>9961</v>
      </c>
      <c r="O191" s="195">
        <v>790</v>
      </c>
      <c r="P191" s="195"/>
      <c r="Q191" s="195">
        <f t="shared" si="33"/>
        <v>0.70182062704705706</v>
      </c>
      <c r="R191" s="195">
        <f t="shared" si="36"/>
        <v>0.64276170599883398</v>
      </c>
      <c r="S191" s="195">
        <f t="shared" si="34"/>
        <v>0.66058792478371375</v>
      </c>
      <c r="T191" s="195">
        <f>(Cruise!$Q191+Cruise!$R191)/2</f>
        <v>0.67229116652294552</v>
      </c>
      <c r="U191" s="196">
        <f t="shared" si="25"/>
        <v>13759.2</v>
      </c>
      <c r="V191" s="196">
        <f t="shared" si="26"/>
        <v>65.222952160963857</v>
      </c>
      <c r="W191" s="196">
        <f t="shared" si="27"/>
        <v>6.8877551020408161</v>
      </c>
      <c r="X191" s="196">
        <f t="shared" si="28"/>
        <v>3.7692307692307692</v>
      </c>
      <c r="Y191" s="196">
        <f t="shared" si="30"/>
        <v>25.96153846153846</v>
      </c>
      <c r="Z191" s="195"/>
      <c r="AA191" s="195">
        <v>7280</v>
      </c>
      <c r="AB191" s="195">
        <v>16</v>
      </c>
      <c r="AC191" s="195">
        <f t="shared" ref="AC191:AC195" si="37">(AB191*0.512)</f>
        <v>8.1920000000000002</v>
      </c>
      <c r="AD191" s="196">
        <f t="shared" si="29"/>
        <v>0.22510676961484705</v>
      </c>
      <c r="AE191" s="197">
        <f>Cruise!$AA191/(Cruise!$AC191^3)</f>
        <v>13.242242857813835</v>
      </c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  <c r="AW191" s="198">
        <f>Cruise!$I191/(Cruise!$S191*Cruise!$I191*Cruise!$K191*Cruise!$L191)^(1/3)</f>
        <v>6.4688313752595246</v>
      </c>
      <c r="AX191">
        <f>(Cruise!$S191*Cruise!$I191*Cruise!$K191*Cruise!$L191)*1.025/O191</f>
        <v>11.792899251963515</v>
      </c>
    </row>
    <row r="192" spans="1:50" x14ac:dyDescent="0.3">
      <c r="A192" s="199" t="s">
        <v>172</v>
      </c>
      <c r="B192" s="200">
        <v>1982</v>
      </c>
      <c r="C192" s="200"/>
      <c r="D192" s="200">
        <v>148</v>
      </c>
      <c r="E192" s="200">
        <v>71</v>
      </c>
      <c r="F192" s="200"/>
      <c r="G192" s="200">
        <v>97.88</v>
      </c>
      <c r="H192" s="200">
        <v>112</v>
      </c>
      <c r="I192" s="200">
        <f>IF(Cruise!$H192&gt;0,Cruise!$H192,Cruise!$F192)</f>
        <v>112</v>
      </c>
      <c r="J192" s="200"/>
      <c r="K192" s="200">
        <v>16</v>
      </c>
      <c r="L192" s="200">
        <v>4.7</v>
      </c>
      <c r="M192" s="200"/>
      <c r="N192" s="200">
        <v>6471</v>
      </c>
      <c r="O192" s="200">
        <v>1301</v>
      </c>
      <c r="P192" s="200"/>
      <c r="Q192" s="200">
        <f t="shared" si="33"/>
        <v>0.62587670913863902</v>
      </c>
      <c r="R192" s="200">
        <f t="shared" si="36"/>
        <v>0.57131451204708783</v>
      </c>
      <c r="S192" s="200">
        <f t="shared" si="34"/>
        <v>0.5918955397965584</v>
      </c>
      <c r="T192" s="200">
        <f>(Cruise!$Q192+Cruise!$R192)/2</f>
        <v>0.59859561059286337</v>
      </c>
      <c r="U192" s="196">
        <f t="shared" si="25"/>
        <v>8422.4</v>
      </c>
      <c r="V192" s="196">
        <f t="shared" si="26"/>
        <v>66.104699333877321</v>
      </c>
      <c r="W192" s="196">
        <f t="shared" si="27"/>
        <v>7</v>
      </c>
      <c r="X192" s="196">
        <f t="shared" si="28"/>
        <v>3.4042553191489362</v>
      </c>
      <c r="Y192" s="196">
        <f t="shared" si="30"/>
        <v>23.829787234042552</v>
      </c>
      <c r="Z192" s="200"/>
      <c r="AA192" s="200">
        <v>6400</v>
      </c>
      <c r="AB192" s="200">
        <v>17.5</v>
      </c>
      <c r="AC192" s="200">
        <f t="shared" si="37"/>
        <v>8.9600000000000009</v>
      </c>
      <c r="AD192" s="196">
        <f t="shared" si="29"/>
        <v>0.27031148265557203</v>
      </c>
      <c r="AE192" s="204">
        <f>Cruise!$AA192/(Cruise!$AC192^3)</f>
        <v>8.8972530976676367</v>
      </c>
      <c r="AF192" s="200"/>
      <c r="AG192" s="200"/>
      <c r="AH192" s="200"/>
      <c r="AI192" s="200"/>
      <c r="AJ192" s="200"/>
      <c r="AK192" s="200"/>
      <c r="AL192" s="200"/>
      <c r="AM192" s="200"/>
      <c r="AN192" s="200"/>
      <c r="AO192" s="200"/>
      <c r="AP192" s="200"/>
      <c r="AQ192" s="200"/>
      <c r="AR192" s="200"/>
      <c r="AS192" s="200"/>
      <c r="AT192" s="200"/>
      <c r="AU192" s="200"/>
      <c r="AV192" s="200"/>
      <c r="AW192" s="205">
        <f>Cruise!$I192/(Cruise!$S192*Cruise!$I192*Cruise!$K192*Cruise!$L192)^(1/3)</f>
        <v>6.556283316458269</v>
      </c>
      <c r="AX192">
        <f>(Cruise!$S192*Cruise!$I192*Cruise!$K192*Cruise!$L192)*1.025/O192</f>
        <v>3.9276022438448086</v>
      </c>
    </row>
    <row r="193" spans="1:50" x14ac:dyDescent="0.3">
      <c r="A193" s="194" t="s">
        <v>173</v>
      </c>
      <c r="B193" s="195">
        <v>2000</v>
      </c>
      <c r="C193" s="195"/>
      <c r="D193" s="195">
        <f>2*684</f>
        <v>1368</v>
      </c>
      <c r="E193" s="195">
        <v>400</v>
      </c>
      <c r="F193" s="195">
        <v>181</v>
      </c>
      <c r="G193" s="195">
        <v>157.85</v>
      </c>
      <c r="H193" s="195"/>
      <c r="I193" s="195">
        <f>IF(Cruise!$H193&gt;0,Cruise!$H193,Cruise!$F193)</f>
        <v>181</v>
      </c>
      <c r="J193" s="195">
        <v>8.4</v>
      </c>
      <c r="K193" s="195">
        <v>25.46</v>
      </c>
      <c r="L193" s="195">
        <v>5.95</v>
      </c>
      <c r="M193" s="195">
        <v>11481</v>
      </c>
      <c r="N193" s="195">
        <v>30277</v>
      </c>
      <c r="O193" s="195">
        <v>2948</v>
      </c>
      <c r="P193" s="195"/>
      <c r="Q193" s="195">
        <f t="shared" si="33"/>
        <v>0.71256717092149102</v>
      </c>
      <c r="R193" s="195">
        <f t="shared" si="36"/>
        <v>0.66063045950938581</v>
      </c>
      <c r="S193" s="195">
        <f t="shared" si="34"/>
        <v>0.67211340792604035</v>
      </c>
      <c r="T193" s="195">
        <f>(Cruise!$Q193+Cruise!$R193)/2</f>
        <v>0.68659881521543842</v>
      </c>
      <c r="U193" s="196">
        <f t="shared" si="25"/>
        <v>27419.147000000001</v>
      </c>
      <c r="V193" s="196">
        <f t="shared" si="26"/>
        <v>69.090928686804773</v>
      </c>
      <c r="W193" s="196">
        <f t="shared" si="27"/>
        <v>7.1091908876669283</v>
      </c>
      <c r="X193" s="196">
        <f t="shared" si="28"/>
        <v>4.2789915966386554</v>
      </c>
      <c r="Y193" s="196">
        <f t="shared" si="30"/>
        <v>30.420168067226889</v>
      </c>
      <c r="Z193" s="195">
        <f>Cruise!$I193/Cruise!$J193</f>
        <v>21.547619047619047</v>
      </c>
      <c r="AA193" s="195"/>
      <c r="AB193" s="195">
        <v>18</v>
      </c>
      <c r="AC193" s="195">
        <f t="shared" si="37"/>
        <v>9.2160000000000011</v>
      </c>
      <c r="AD193" s="196">
        <f t="shared" si="29"/>
        <v>0.21871001730863635</v>
      </c>
      <c r="AE193" s="197"/>
      <c r="AF193" s="195"/>
      <c r="AG193" s="195"/>
      <c r="AH193" s="195"/>
      <c r="AI193" s="195"/>
      <c r="AJ193" s="195"/>
      <c r="AK193" s="195"/>
      <c r="AL193" s="195"/>
      <c r="AM193" s="195"/>
      <c r="AN193" s="195"/>
      <c r="AO193" s="197"/>
      <c r="AP193" s="195"/>
      <c r="AQ193" s="195"/>
      <c r="AR193" s="195"/>
      <c r="AS193" s="195"/>
      <c r="AT193" s="195"/>
      <c r="AU193" s="195"/>
      <c r="AV193" s="195"/>
      <c r="AW193" s="198">
        <f>Cruise!$I193/(Cruise!$S193*Cruise!$I193*Cruise!$K193*Cruise!$L193)^(1/3)</f>
        <v>6.8524584126769206</v>
      </c>
      <c r="AX193">
        <f>(Cruise!$S193*Cruise!$I193*Cruise!$K193*Cruise!$L193)*1.025/O193</f>
        <v>6.4075630057360717</v>
      </c>
    </row>
    <row r="194" spans="1:50" x14ac:dyDescent="0.3">
      <c r="A194" s="199" t="s">
        <v>174</v>
      </c>
      <c r="B194" s="200">
        <v>1999</v>
      </c>
      <c r="C194" s="200"/>
      <c r="D194" s="200">
        <v>490</v>
      </c>
      <c r="E194" s="200">
        <v>345</v>
      </c>
      <c r="F194" s="200">
        <v>170.69</v>
      </c>
      <c r="G194" s="200">
        <v>150.18</v>
      </c>
      <c r="H194" s="200"/>
      <c r="I194" s="200">
        <f>IF(Cruise!$H194&gt;0,Cruise!$H194,Cruise!$F194)</f>
        <v>170.69</v>
      </c>
      <c r="J194" s="219"/>
      <c r="K194" s="200">
        <v>24.8</v>
      </c>
      <c r="L194" s="217">
        <v>7.3</v>
      </c>
      <c r="M194" s="200">
        <v>9839</v>
      </c>
      <c r="N194" s="200">
        <v>28803</v>
      </c>
      <c r="O194" s="200">
        <v>3342</v>
      </c>
      <c r="P194" s="200"/>
      <c r="Q194" s="200">
        <f t="shared" si="33"/>
        <v>0.65959226737332655</v>
      </c>
      <c r="R194" s="200">
        <f t="shared" si="36"/>
        <v>0.59885149631383738</v>
      </c>
      <c r="S194" s="200">
        <f t="shared" si="34"/>
        <v>0.61993608439380055</v>
      </c>
      <c r="T194" s="200">
        <f>(Cruise!$Q194+Cruise!$R194)/2</f>
        <v>0.62922188184358196</v>
      </c>
      <c r="U194" s="196">
        <f t="shared" si="25"/>
        <v>30901.7176</v>
      </c>
      <c r="V194" s="196">
        <f t="shared" si="26"/>
        <v>64.319035274387232</v>
      </c>
      <c r="W194" s="196">
        <f t="shared" si="27"/>
        <v>6.8826612903225808</v>
      </c>
      <c r="X194" s="196">
        <f t="shared" si="28"/>
        <v>3.397260273972603</v>
      </c>
      <c r="Y194" s="196">
        <f t="shared" si="30"/>
        <v>23.38219178082192</v>
      </c>
      <c r="Z194" s="200"/>
      <c r="AA194" s="200"/>
      <c r="AB194" s="200">
        <v>20</v>
      </c>
      <c r="AC194" s="200">
        <f t="shared" si="37"/>
        <v>10.24</v>
      </c>
      <c r="AD194" s="196">
        <f t="shared" si="29"/>
        <v>0.25024269799206761</v>
      </c>
      <c r="AE194" s="204"/>
      <c r="AF194" s="200"/>
      <c r="AG194" s="200"/>
      <c r="AH194" s="200"/>
      <c r="AI194" s="200"/>
      <c r="AJ194" s="200"/>
      <c r="AK194" s="200"/>
      <c r="AL194" s="200"/>
      <c r="AM194" s="200"/>
      <c r="AN194" s="204"/>
      <c r="AO194" s="204"/>
      <c r="AP194" s="200"/>
      <c r="AQ194" s="200"/>
      <c r="AR194" s="200"/>
      <c r="AS194" s="200"/>
      <c r="AT194" s="200"/>
      <c r="AU194" s="200"/>
      <c r="AV194" s="200"/>
      <c r="AW194" s="205">
        <f>Cruise!$I194/(Cruise!$S194*Cruise!$I194*Cruise!$K194*Cruise!$L194)^(1/3)</f>
        <v>6.3791806354082619</v>
      </c>
      <c r="AX194">
        <f>(Cruise!$S194*Cruise!$I194*Cruise!$K194*Cruise!$L194)*1.025/O194</f>
        <v>5.87552874184221</v>
      </c>
    </row>
    <row r="195" spans="1:50" x14ac:dyDescent="0.3">
      <c r="A195" s="194" t="s">
        <v>175</v>
      </c>
      <c r="B195" s="195">
        <v>2002</v>
      </c>
      <c r="C195" s="195">
        <v>3114</v>
      </c>
      <c r="D195" s="195">
        <v>3807</v>
      </c>
      <c r="E195" s="195">
        <v>1213</v>
      </c>
      <c r="F195" s="195"/>
      <c r="G195" s="195"/>
      <c r="H195" s="195">
        <v>310</v>
      </c>
      <c r="I195" s="195">
        <f>IF(Cruise!$H195&gt;0,Cruise!$H195,Cruise!$F195)</f>
        <v>310</v>
      </c>
      <c r="J195" s="195"/>
      <c r="K195" s="195">
        <v>49</v>
      </c>
      <c r="L195" s="195">
        <v>8.6</v>
      </c>
      <c r="M195" s="195"/>
      <c r="N195" s="195">
        <v>138279</v>
      </c>
      <c r="O195" s="195"/>
      <c r="P195" s="195">
        <v>0.73506359106341868</v>
      </c>
      <c r="Q195" s="195">
        <f t="shared" si="33"/>
        <v>0.73684796959942411</v>
      </c>
      <c r="R195" s="195">
        <f t="shared" si="36"/>
        <v>0.67147511797828341</v>
      </c>
      <c r="S195" s="195">
        <f t="shared" si="34"/>
        <v>0.70025688806098763</v>
      </c>
      <c r="T195" s="195">
        <f>(Cruise!$Q195+Cruise!$R195)/2</f>
        <v>0.70416154378885376</v>
      </c>
      <c r="U195" s="196">
        <f t="shared" si="25"/>
        <v>130634</v>
      </c>
      <c r="V195" s="196">
        <f t="shared" si="26"/>
        <v>69.368948388493948</v>
      </c>
      <c r="W195" s="196">
        <f t="shared" si="27"/>
        <v>6.3265306122448983</v>
      </c>
      <c r="X195" s="196">
        <f t="shared" si="28"/>
        <v>5.6976744186046515</v>
      </c>
      <c r="Y195" s="196">
        <f t="shared" si="30"/>
        <v>36.04651162790698</v>
      </c>
      <c r="Z195" s="195"/>
      <c r="AA195" s="195"/>
      <c r="AB195" s="195">
        <v>22</v>
      </c>
      <c r="AC195" s="195">
        <f t="shared" si="37"/>
        <v>11.263999999999999</v>
      </c>
      <c r="AD195" s="196">
        <f t="shared" si="29"/>
        <v>0.20425716095272381</v>
      </c>
      <c r="AE195" s="197"/>
      <c r="AF195" s="195"/>
      <c r="AG195" s="195" t="s">
        <v>75</v>
      </c>
      <c r="AH195" s="195" t="s">
        <v>82</v>
      </c>
      <c r="AI195" s="195"/>
      <c r="AJ195" s="195"/>
      <c r="AK195" s="195"/>
      <c r="AL195" s="195">
        <v>14</v>
      </c>
      <c r="AM195" s="195"/>
      <c r="AN195" s="195"/>
      <c r="AO195" s="195" t="s">
        <v>83</v>
      </c>
      <c r="AP195" s="195" t="s">
        <v>84</v>
      </c>
      <c r="AQ195" s="195"/>
      <c r="AR195" s="195"/>
      <c r="AS195" s="195"/>
      <c r="AT195" s="195"/>
      <c r="AU195" s="195"/>
      <c r="AV195" s="195"/>
      <c r="AW195" s="198">
        <f>Cruise!$I195/(Cruise!$S195*Cruise!$I195*Cruise!$K195*Cruise!$L195)^(1/3)</f>
        <v>6.8800324875944225</v>
      </c>
    </row>
    <row r="196" spans="1:50" x14ac:dyDescent="0.3">
      <c r="A196" s="199" t="s">
        <v>176</v>
      </c>
      <c r="B196" s="200">
        <v>1981</v>
      </c>
      <c r="C196" s="200"/>
      <c r="D196" s="200">
        <v>2000</v>
      </c>
      <c r="E196" s="200"/>
      <c r="F196" s="200"/>
      <c r="G196" s="200"/>
      <c r="H196" s="200">
        <v>154.4</v>
      </c>
      <c r="I196" s="200">
        <f>IF(Cruise!$H196&gt;0,Cruise!$H196,Cruise!$F196)</f>
        <v>154.4</v>
      </c>
      <c r="J196" s="200"/>
      <c r="K196" s="200">
        <v>24.7</v>
      </c>
      <c r="L196" s="200">
        <v>5.82</v>
      </c>
      <c r="M196" s="200"/>
      <c r="N196" s="200"/>
      <c r="O196" s="200">
        <v>2880</v>
      </c>
      <c r="P196" s="200"/>
      <c r="Q196" s="200">
        <f t="shared" si="33"/>
        <v>0.61586920392584465</v>
      </c>
      <c r="R196" s="200">
        <f t="shared" si="36"/>
        <v>0.54745253561835217</v>
      </c>
      <c r="S196" s="200">
        <f t="shared" si="34"/>
        <v>0.58420477417589201</v>
      </c>
      <c r="T196" s="200">
        <f>(Cruise!$Q196+Cruise!$R196)/2</f>
        <v>0.58166086977209841</v>
      </c>
      <c r="U196" s="196">
        <f t="shared" si="25"/>
        <v>22195.617600000001</v>
      </c>
      <c r="V196" s="196">
        <f t="shared" si="26"/>
        <v>66.264024040374764</v>
      </c>
      <c r="W196" s="196">
        <f t="shared" si="27"/>
        <v>6.2510121457489882</v>
      </c>
      <c r="X196" s="196">
        <f t="shared" si="28"/>
        <v>4.2439862542955327</v>
      </c>
      <c r="Y196" s="196">
        <f t="shared" si="30"/>
        <v>26.529209621993125</v>
      </c>
      <c r="Z196" s="200"/>
      <c r="AA196" s="200">
        <v>15300</v>
      </c>
      <c r="AB196" s="200">
        <v>21</v>
      </c>
      <c r="AC196" s="200">
        <f>(AB196*0.512)</f>
        <v>10.752000000000001</v>
      </c>
      <c r="AD196" s="196">
        <f t="shared" si="29"/>
        <v>0.27626833099652109</v>
      </c>
      <c r="AE196" s="204">
        <f>Cruise!$AA196/(Cruise!$AC196^3)</f>
        <v>12.30902528160399</v>
      </c>
      <c r="AF196" s="200"/>
      <c r="AG196" s="200"/>
      <c r="AH196" s="200"/>
      <c r="AI196" s="200"/>
      <c r="AJ196" s="200" t="s">
        <v>129</v>
      </c>
      <c r="AK196" s="200"/>
      <c r="AL196" s="200"/>
      <c r="AM196" s="200"/>
      <c r="AN196" s="200"/>
      <c r="AO196" s="200"/>
      <c r="AP196" s="200"/>
      <c r="AQ196" s="200" t="s">
        <v>89</v>
      </c>
      <c r="AR196" s="200"/>
      <c r="AS196" s="200"/>
      <c r="AT196" s="200"/>
      <c r="AU196" s="200"/>
      <c r="AV196" s="200"/>
      <c r="AW196" s="205">
        <f>Cruise!$I196/(Cruise!$S196*Cruise!$I196*Cruise!$K196*Cruise!$L196)^(1/3)</f>
        <v>6.5720851872123109</v>
      </c>
      <c r="AX196">
        <f>(Cruise!$S196*Cruise!$I196*Cruise!$K196*Cruise!$L196)*1.025/O196</f>
        <v>4.6149150735746582</v>
      </c>
    </row>
    <row r="197" spans="1:50" x14ac:dyDescent="0.3">
      <c r="A197" s="194" t="s">
        <v>177</v>
      </c>
      <c r="B197" s="195">
        <v>2013</v>
      </c>
      <c r="C197" s="195">
        <v>3988</v>
      </c>
      <c r="D197" s="195">
        <v>4500</v>
      </c>
      <c r="E197" s="195">
        <v>1600</v>
      </c>
      <c r="F197" s="195"/>
      <c r="G197" s="195"/>
      <c r="H197" s="195">
        <v>324</v>
      </c>
      <c r="I197" s="195">
        <f>IF(Cruise!$H197&gt;0,Cruise!$H197,Cruise!$F197)</f>
        <v>324</v>
      </c>
      <c r="J197" s="195"/>
      <c r="K197" s="195">
        <v>39.700000000000003</v>
      </c>
      <c r="L197" s="195">
        <v>8.3000000000000007</v>
      </c>
      <c r="M197" s="195"/>
      <c r="N197" s="195">
        <v>144017</v>
      </c>
      <c r="O197" s="195">
        <v>11000</v>
      </c>
      <c r="P197" s="195">
        <v>0.75026643461391118</v>
      </c>
      <c r="Q197" s="195">
        <f t="shared" si="33"/>
        <v>0.75197216784888432</v>
      </c>
      <c r="R197" s="195">
        <f t="shared" si="36"/>
        <v>0.74018141576106189</v>
      </c>
      <c r="S197" s="195">
        <f t="shared" si="34"/>
        <v>0.71945381013472187</v>
      </c>
      <c r="T197" s="195">
        <f>(Cruise!$Q197+Cruise!$R197)/2</f>
        <v>0.74607679180497311</v>
      </c>
      <c r="U197" s="196">
        <f t="shared" si="25"/>
        <v>106761.24000000002</v>
      </c>
      <c r="V197" s="196">
        <f t="shared" si="26"/>
        <v>76.850634337763211</v>
      </c>
      <c r="W197" s="196">
        <f t="shared" si="27"/>
        <v>8.1612090680100753</v>
      </c>
      <c r="X197" s="196">
        <f t="shared" si="28"/>
        <v>4.7831325301204819</v>
      </c>
      <c r="Y197" s="196">
        <f t="shared" si="30"/>
        <v>39.036144578313248</v>
      </c>
      <c r="Z197" s="195"/>
      <c r="AA197" s="195"/>
      <c r="AB197" s="195">
        <v>21.5</v>
      </c>
      <c r="AC197" s="195">
        <f>(AB197*0.512)</f>
        <v>11.008000000000001</v>
      </c>
      <c r="AD197" s="196">
        <f t="shared" si="29"/>
        <v>0.19525466199471175</v>
      </c>
      <c r="AE197" s="197"/>
      <c r="AF197" s="195"/>
      <c r="AG197" s="195"/>
      <c r="AH197" s="195"/>
      <c r="AI197" s="195"/>
      <c r="AJ197" s="195"/>
      <c r="AK197" s="195"/>
      <c r="AL197" s="195"/>
      <c r="AM197" s="195"/>
      <c r="AN197" s="195"/>
      <c r="AO197" s="195"/>
      <c r="AP197" s="195"/>
      <c r="AQ197" s="195"/>
      <c r="AR197" s="195"/>
      <c r="AS197" s="195"/>
      <c r="AT197" s="195"/>
      <c r="AU197" s="195"/>
      <c r="AV197" s="195"/>
      <c r="AW197" s="198">
        <f>Cruise!$I197/(Cruise!$S197*Cruise!$I197*Cruise!$K197*Cruise!$L197)^(1/3)</f>
        <v>7.6220682772199888</v>
      </c>
      <c r="AX197">
        <f>(Cruise!$S197*Cruise!$I197*Cruise!$K197*Cruise!$L197)*1.025/O197</f>
        <v>7.1572750377295611</v>
      </c>
    </row>
    <row r="198" spans="1:50" x14ac:dyDescent="0.3">
      <c r="A198" s="207" t="s">
        <v>177</v>
      </c>
      <c r="B198" s="200"/>
      <c r="C198" s="200"/>
      <c r="D198" s="200"/>
      <c r="E198" s="200"/>
      <c r="F198" s="201">
        <v>325</v>
      </c>
      <c r="G198" s="201">
        <v>325</v>
      </c>
      <c r="H198" s="201">
        <v>325</v>
      </c>
      <c r="I198" s="203">
        <f>IF(Cruise!$H198&gt;0,Cruise!$H198,Cruise!$F198)</f>
        <v>325</v>
      </c>
      <c r="J198" s="200"/>
      <c r="K198" s="201">
        <v>51</v>
      </c>
      <c r="L198" s="201">
        <v>8.3000000000000007</v>
      </c>
      <c r="M198" s="200"/>
      <c r="N198" s="208">
        <v>144017</v>
      </c>
      <c r="O198" s="202">
        <v>11000</v>
      </c>
      <c r="P198" s="200"/>
      <c r="Q198" s="203">
        <f t="shared" si="33"/>
        <v>0.51171464422416002</v>
      </c>
      <c r="R198" s="203">
        <f t="shared" si="36"/>
        <v>0.48054619287916106</v>
      </c>
      <c r="S198" s="203">
        <f t="shared" si="34"/>
        <v>0.51737978298326559</v>
      </c>
      <c r="T198" s="203">
        <f>(Cruise!$Q198+Cruise!$R198)/2</f>
        <v>0.49613041855166051</v>
      </c>
      <c r="U198" s="196">
        <f t="shared" si="25"/>
        <v>137572.5</v>
      </c>
      <c r="V198" s="196">
        <f t="shared" si="26"/>
        <v>79.069857270866791</v>
      </c>
      <c r="W198" s="196">
        <f t="shared" si="27"/>
        <v>6.3725490196078427</v>
      </c>
      <c r="X198" s="196">
        <f t="shared" si="28"/>
        <v>6.1445783132530112</v>
      </c>
      <c r="Y198" s="196">
        <f t="shared" si="30"/>
        <v>39.156626506024097</v>
      </c>
      <c r="Z198" s="203" t="e">
        <f>Cruise!$I198/Cruise!$J198</f>
        <v>#DIV/0!</v>
      </c>
      <c r="AA198" s="200"/>
      <c r="AB198" s="200"/>
      <c r="AC198" s="209">
        <v>19.100000000000001</v>
      </c>
      <c r="AD198" s="196">
        <f t="shared" si="29"/>
        <v>0.33826509272371436</v>
      </c>
      <c r="AE198" s="204">
        <f>Cruise!$AA198/(Cruise!$AC198^3)</f>
        <v>0</v>
      </c>
      <c r="AF198" s="200"/>
      <c r="AG198" s="200"/>
      <c r="AH198" s="200"/>
      <c r="AI198" s="200"/>
      <c r="AJ198" s="200"/>
      <c r="AK198" s="200"/>
      <c r="AL198" s="200"/>
      <c r="AM198" s="200"/>
      <c r="AN198" s="200"/>
      <c r="AO198" s="200"/>
      <c r="AP198" s="200"/>
      <c r="AQ198" s="200"/>
      <c r="AR198" s="200"/>
      <c r="AS198" s="200"/>
      <c r="AT198" s="200"/>
      <c r="AU198" s="200"/>
      <c r="AV198" s="200"/>
      <c r="AW198" s="210">
        <f>Cruise!$I198/(Cruise!$S198*Cruise!$I198*Cruise!$K198*Cruise!$L198)^(1/3)</f>
        <v>7.8421714535209821</v>
      </c>
      <c r="AX198">
        <f>(Cruise!$S198*Cruise!$I198*Cruise!$K198*Cruise!$L198)*1.025/O198</f>
        <v>6.6324237226660854</v>
      </c>
    </row>
    <row r="199" spans="1:50" x14ac:dyDescent="0.3">
      <c r="A199" s="194" t="s">
        <v>178</v>
      </c>
      <c r="B199" s="195">
        <v>2010</v>
      </c>
      <c r="C199" s="195">
        <v>4100</v>
      </c>
      <c r="D199" s="195">
        <v>5183</v>
      </c>
      <c r="E199" s="195">
        <v>1708</v>
      </c>
      <c r="F199" s="195"/>
      <c r="G199" s="195"/>
      <c r="H199" s="195">
        <v>329</v>
      </c>
      <c r="I199" s="195">
        <f>IF(Cruise!$H199&gt;0,Cruise!$H199,Cruise!$F199)</f>
        <v>329</v>
      </c>
      <c r="J199" s="195">
        <v>21.640800000000002</v>
      </c>
      <c r="K199" s="195">
        <v>41</v>
      </c>
      <c r="L199" s="195">
        <v>8.6999999999999993</v>
      </c>
      <c r="M199" s="195"/>
      <c r="N199" s="195">
        <v>155873</v>
      </c>
      <c r="O199" s="195"/>
      <c r="P199" s="195">
        <v>0.74517187131269402</v>
      </c>
      <c r="Q199" s="195">
        <f t="shared" si="33"/>
        <v>0.74690395905583029</v>
      </c>
      <c r="R199" s="195">
        <f t="shared" si="36"/>
        <v>0.72909457581087922</v>
      </c>
      <c r="S199" s="195">
        <f t="shared" si="34"/>
        <v>0.71286558809829792</v>
      </c>
      <c r="T199" s="195">
        <f>(Cruise!$Q199+Cruise!$R199)/2</f>
        <v>0.73799926743335476</v>
      </c>
      <c r="U199" s="196">
        <f t="shared" si="25"/>
        <v>117354.29999999999</v>
      </c>
      <c r="V199" s="196">
        <f t="shared" si="26"/>
        <v>75.846399124049285</v>
      </c>
      <c r="W199" s="196">
        <f t="shared" si="27"/>
        <v>8.0243902439024382</v>
      </c>
      <c r="X199" s="196">
        <f t="shared" si="28"/>
        <v>4.7126436781609202</v>
      </c>
      <c r="Y199" s="196">
        <f t="shared" si="30"/>
        <v>37.816091954022994</v>
      </c>
      <c r="Z199" s="195">
        <f>Cruise!$I199/Cruise!$J199</f>
        <v>15.202765147314331</v>
      </c>
      <c r="AA199" s="195"/>
      <c r="AB199" s="195">
        <v>22</v>
      </c>
      <c r="AC199" s="195">
        <f>(AB199*0.512)</f>
        <v>11.263999999999999</v>
      </c>
      <c r="AD199" s="196">
        <f t="shared" si="29"/>
        <v>0.19827145294295823</v>
      </c>
      <c r="AE199" s="197"/>
      <c r="AF199" s="195"/>
      <c r="AG199" s="195"/>
      <c r="AH199" s="195"/>
      <c r="AI199" s="195"/>
      <c r="AJ199" s="195"/>
      <c r="AK199" s="195"/>
      <c r="AL199" s="195"/>
      <c r="AM199" s="195"/>
      <c r="AN199" s="195">
        <v>1.8945695168385639</v>
      </c>
      <c r="AO199" s="195"/>
      <c r="AP199" s="195"/>
      <c r="AQ199" s="195"/>
      <c r="AR199" s="195"/>
      <c r="AS199" s="195"/>
      <c r="AT199" s="195"/>
      <c r="AU199" s="195"/>
      <c r="AV199" s="195"/>
      <c r="AW199" s="198">
        <f>Cruise!$I199/(Cruise!$S199*Cruise!$I199*Cruise!$K199*Cruise!$L199)^(1/3)</f>
        <v>7.522467936490532</v>
      </c>
    </row>
    <row r="200" spans="1:50" x14ac:dyDescent="0.3">
      <c r="A200" s="199" t="s">
        <v>179</v>
      </c>
      <c r="B200" s="200">
        <v>2015</v>
      </c>
      <c r="C200" s="200"/>
      <c r="D200" s="200">
        <v>4266</v>
      </c>
      <c r="E200" s="200">
        <v>1733</v>
      </c>
      <c r="F200" s="200">
        <v>325.89999999999998</v>
      </c>
      <c r="G200" s="200"/>
      <c r="H200" s="200"/>
      <c r="I200" s="200">
        <f>IF(Cruise!$H200&gt;0,Cruise!$H200,Cruise!$F200)</f>
        <v>325.89999999999998</v>
      </c>
      <c r="J200" s="200"/>
      <c r="K200" s="200">
        <v>41.4</v>
      </c>
      <c r="L200" s="200">
        <v>8.6</v>
      </c>
      <c r="M200" s="200"/>
      <c r="N200" s="200">
        <v>165300</v>
      </c>
      <c r="O200" s="200">
        <v>11700</v>
      </c>
      <c r="P200" s="200"/>
      <c r="Q200" s="200">
        <f t="shared" si="33"/>
        <v>0.74365960904914041</v>
      </c>
      <c r="R200" s="200">
        <f t="shared" ref="R200:R217" si="38">(0.23/AD200^(2/3))*((I200/K200)+20)/26</f>
        <v>0.72045881316195692</v>
      </c>
      <c r="S200" s="200">
        <f t="shared" si="34"/>
        <v>0.70873179819959753</v>
      </c>
      <c r="T200" s="200">
        <f>(Cruise!$Q200+Cruise!$R200)/2</f>
        <v>0.73205921110554861</v>
      </c>
      <c r="U200" s="196">
        <f t="shared" si="25"/>
        <v>116033.43599999999</v>
      </c>
      <c r="V200" s="196">
        <f t="shared" si="26"/>
        <v>75.562089441498387</v>
      </c>
      <c r="W200" s="196">
        <f t="shared" si="27"/>
        <v>7.8719806763285023</v>
      </c>
      <c r="X200" s="196">
        <f t="shared" si="28"/>
        <v>4.8139534883720927</v>
      </c>
      <c r="Y200" s="196">
        <f t="shared" si="30"/>
        <v>37.895348837209298</v>
      </c>
      <c r="Z200" s="200"/>
      <c r="AA200" s="200"/>
      <c r="AB200" s="200"/>
      <c r="AC200" s="200">
        <v>11.32</v>
      </c>
      <c r="AD200" s="196">
        <f t="shared" si="29"/>
        <v>0.20020261366122599</v>
      </c>
      <c r="AE200" s="204">
        <f>Cruise!$AA200/(Cruise!$AC200^3)</f>
        <v>0</v>
      </c>
      <c r="AF200" s="200"/>
      <c r="AG200" s="200"/>
      <c r="AH200" s="200"/>
      <c r="AI200" s="200"/>
      <c r="AJ200" s="200"/>
      <c r="AK200" s="200"/>
      <c r="AL200" s="200"/>
      <c r="AM200" s="200"/>
      <c r="AN200" s="200"/>
      <c r="AO200" s="200"/>
      <c r="AP200" s="200"/>
      <c r="AQ200" s="200"/>
      <c r="AR200" s="200"/>
      <c r="AS200" s="200"/>
      <c r="AT200" s="200"/>
      <c r="AU200" s="200"/>
      <c r="AV200" s="200"/>
      <c r="AW200" s="205">
        <f>Cruise!$I200/(Cruise!$S200*Cruise!$I200*Cruise!$K200*Cruise!$L200)^(1/3)</f>
        <v>7.494270019440771</v>
      </c>
      <c r="AX200">
        <f>(Cruise!$S200*Cruise!$I200*Cruise!$K200*Cruise!$L200)*1.025/O200</f>
        <v>7.2044872129270798</v>
      </c>
    </row>
    <row r="201" spans="1:50" x14ac:dyDescent="0.3">
      <c r="A201" s="194" t="s">
        <v>180</v>
      </c>
      <c r="B201" s="195">
        <v>2014</v>
      </c>
      <c r="C201" s="195">
        <v>2014</v>
      </c>
      <c r="D201" s="195">
        <v>4028</v>
      </c>
      <c r="E201" s="195">
        <v>1640</v>
      </c>
      <c r="F201" s="195">
        <v>325.7</v>
      </c>
      <c r="G201" s="195"/>
      <c r="H201" s="195"/>
      <c r="I201" s="195">
        <f>IF(Cruise!$H201&gt;0,Cruise!$H201,Cruise!$F201)</f>
        <v>325.7</v>
      </c>
      <c r="J201" s="195"/>
      <c r="K201" s="195">
        <v>39.700000000000003</v>
      </c>
      <c r="L201" s="195">
        <v>8.4</v>
      </c>
      <c r="M201" s="195"/>
      <c r="N201" s="195">
        <v>145655</v>
      </c>
      <c r="O201" s="195">
        <v>11110</v>
      </c>
      <c r="P201" s="195"/>
      <c r="Q201" s="195">
        <f t="shared" si="33"/>
        <v>0.752829362942119</v>
      </c>
      <c r="R201" s="195">
        <f t="shared" si="38"/>
        <v>0.74260117867365216</v>
      </c>
      <c r="S201" s="195">
        <f t="shared" si="34"/>
        <v>0.7205842101895239</v>
      </c>
      <c r="T201" s="195">
        <f>(Cruise!$Q201+Cruise!$R201)/2</f>
        <v>0.74771527080788558</v>
      </c>
      <c r="U201" s="196">
        <f t="shared" si="25"/>
        <v>108614.43600000002</v>
      </c>
      <c r="V201" s="196">
        <f t="shared" si="26"/>
        <v>76.771781059468282</v>
      </c>
      <c r="W201" s="196">
        <f t="shared" si="27"/>
        <v>8.2040302267002509</v>
      </c>
      <c r="X201" s="196">
        <f t="shared" si="28"/>
        <v>4.7261904761904763</v>
      </c>
      <c r="Y201" s="196">
        <f t="shared" si="30"/>
        <v>38.773809523809518</v>
      </c>
      <c r="Z201" s="195"/>
      <c r="AA201" s="195">
        <v>62400</v>
      </c>
      <c r="AB201" s="195">
        <v>21.5</v>
      </c>
      <c r="AC201" s="195">
        <f>(AB201*0.512)</f>
        <v>11.008000000000001</v>
      </c>
      <c r="AD201" s="196">
        <f t="shared" si="29"/>
        <v>0.19474442682016732</v>
      </c>
      <c r="AE201" s="197">
        <f>Cruise!$AA201/(Cruise!$AC201^3)</f>
        <v>46.779904083720602</v>
      </c>
      <c r="AF201" s="195"/>
      <c r="AG201" s="195"/>
      <c r="AH201" s="195"/>
      <c r="AI201" s="195"/>
      <c r="AJ201" s="195"/>
      <c r="AK201" s="195"/>
      <c r="AL201" s="195"/>
      <c r="AM201" s="195"/>
      <c r="AN201" s="195"/>
      <c r="AO201" s="195"/>
      <c r="AP201" s="195"/>
      <c r="AQ201" s="195"/>
      <c r="AR201" s="195"/>
      <c r="AS201" s="195"/>
      <c r="AT201" s="195"/>
      <c r="AU201" s="195"/>
      <c r="AV201" s="195"/>
      <c r="AW201" s="198">
        <f>Cruise!$I201/(Cruise!$S201*Cruise!$I201*Cruise!$K201*Cruise!$L201)^(1/3)</f>
        <v>7.6142475861323291</v>
      </c>
      <c r="AX201">
        <f>(Cruise!$S201*Cruise!$I201*Cruise!$K201*Cruise!$L201)*1.025/O201</f>
        <v>7.2207465139285878</v>
      </c>
    </row>
    <row r="202" spans="1:50" x14ac:dyDescent="0.3">
      <c r="A202" s="199" t="s">
        <v>181</v>
      </c>
      <c r="B202" s="200">
        <v>2017</v>
      </c>
      <c r="C202" s="200"/>
      <c r="D202" s="200">
        <v>3883</v>
      </c>
      <c r="E202" s="200">
        <v>1700</v>
      </c>
      <c r="F202" s="200">
        <v>333.5</v>
      </c>
      <c r="G202" s="200"/>
      <c r="H202" s="200"/>
      <c r="I202" s="200">
        <f>IF(Cruise!$H202&gt;0,Cruise!$H202,Cruise!$F202)</f>
        <v>333.5</v>
      </c>
      <c r="J202" s="200"/>
      <c r="K202" s="200">
        <v>41.4</v>
      </c>
      <c r="L202" s="200">
        <v>8.7200000000000006</v>
      </c>
      <c r="M202" s="200"/>
      <c r="N202" s="200">
        <v>167725</v>
      </c>
      <c r="O202" s="200">
        <v>11700</v>
      </c>
      <c r="P202" s="200"/>
      <c r="Q202" s="200">
        <f t="shared" si="33"/>
        <v>0.73929002539260991</v>
      </c>
      <c r="R202" s="200">
        <f t="shared" si="38"/>
        <v>0.71899022080080399</v>
      </c>
      <c r="S202" s="200">
        <f t="shared" si="34"/>
        <v>0.70326406123113727</v>
      </c>
      <c r="T202" s="200">
        <f>(Cruise!$Q202+Cruise!$R202)/2</f>
        <v>0.72914012309670695</v>
      </c>
      <c r="U202" s="196">
        <f t="shared" si="25"/>
        <v>120396.16800000001</v>
      </c>
      <c r="V202" s="196">
        <f t="shared" si="26"/>
        <v>76.576132872878361</v>
      </c>
      <c r="W202" s="196">
        <f t="shared" si="27"/>
        <v>8.0555555555555554</v>
      </c>
      <c r="X202" s="196">
        <f t="shared" si="28"/>
        <v>4.7477064220183482</v>
      </c>
      <c r="Y202" s="196">
        <f t="shared" si="30"/>
        <v>38.245412844036693</v>
      </c>
      <c r="Z202" s="200"/>
      <c r="AA202" s="200"/>
      <c r="AB202" s="200"/>
      <c r="AC202" s="200">
        <v>11.6</v>
      </c>
      <c r="AD202" s="196">
        <f t="shared" si="29"/>
        <v>0.20280355631392272</v>
      </c>
      <c r="AE202" s="204">
        <f>Cruise!$AA202/(Cruise!$AC202^3)</f>
        <v>0</v>
      </c>
      <c r="AF202" s="200"/>
      <c r="AG202" s="200"/>
      <c r="AH202" s="200"/>
      <c r="AI202" s="200"/>
      <c r="AJ202" s="200"/>
      <c r="AK202" s="200"/>
      <c r="AL202" s="200"/>
      <c r="AM202" s="200"/>
      <c r="AN202" s="200"/>
      <c r="AO202" s="200"/>
      <c r="AP202" s="200"/>
      <c r="AQ202" s="200"/>
      <c r="AR202" s="200"/>
      <c r="AS202" s="200"/>
      <c r="AT202" s="200"/>
      <c r="AU202" s="200"/>
      <c r="AV202" s="200"/>
      <c r="AW202" s="205">
        <f>Cruise!$I202/(Cruise!$S202*Cruise!$I202*Cruise!$K202*Cruise!$L202)^(1/3)</f>
        <v>7.5948431420525431</v>
      </c>
      <c r="AX202">
        <f>(Cruise!$S202*Cruise!$I202*Cruise!$K202*Cruise!$L202)*1.025/O202</f>
        <v>7.4176970526457211</v>
      </c>
    </row>
    <row r="203" spans="1:50" x14ac:dyDescent="0.3">
      <c r="A203" s="194" t="s">
        <v>182</v>
      </c>
      <c r="B203" s="195">
        <v>1974</v>
      </c>
      <c r="C203" s="195"/>
      <c r="D203" s="195">
        <v>252</v>
      </c>
      <c r="E203" s="195">
        <v>142</v>
      </c>
      <c r="F203" s="195"/>
      <c r="G203" s="195">
        <v>114.61</v>
      </c>
      <c r="H203" s="195">
        <v>124.19</v>
      </c>
      <c r="I203" s="195">
        <f>IF(Cruise!$H203&gt;0,Cruise!$H203,Cruise!$F203)</f>
        <v>124.19</v>
      </c>
      <c r="J203" s="195"/>
      <c r="K203" s="195">
        <v>16</v>
      </c>
      <c r="L203" s="195">
        <v>4.8</v>
      </c>
      <c r="M203" s="195">
        <v>4558</v>
      </c>
      <c r="N203" s="195">
        <v>8282</v>
      </c>
      <c r="O203" s="195">
        <v>1575</v>
      </c>
      <c r="P203" s="195"/>
      <c r="Q203" s="195">
        <f t="shared" si="33"/>
        <v>0.734991765176084</v>
      </c>
      <c r="R203" s="195">
        <f t="shared" si="38"/>
        <v>0.7055424727957279</v>
      </c>
      <c r="S203" s="195">
        <f t="shared" si="34"/>
        <v>0.69799394710536977</v>
      </c>
      <c r="T203" s="195">
        <f>(Cruise!$Q203+Cruise!$R203)/2</f>
        <v>0.72026711898590601</v>
      </c>
      <c r="U203" s="196">
        <f t="shared" si="25"/>
        <v>9537.7919999999995</v>
      </c>
      <c r="V203" s="196">
        <f t="shared" si="26"/>
        <v>66.562263340862359</v>
      </c>
      <c r="W203" s="196">
        <f t="shared" si="27"/>
        <v>7.7618749999999999</v>
      </c>
      <c r="X203" s="196">
        <f t="shared" si="28"/>
        <v>3.3333333333333335</v>
      </c>
      <c r="Y203" s="196">
        <f t="shared" si="30"/>
        <v>25.872916666666669</v>
      </c>
      <c r="Z203" s="195"/>
      <c r="AA203" s="195">
        <v>5500</v>
      </c>
      <c r="AB203" s="195">
        <v>14</v>
      </c>
      <c r="AC203" s="195">
        <f t="shared" ref="AC203:AC209" si="39">(AB203*0.512)</f>
        <v>7.1680000000000001</v>
      </c>
      <c r="AD203" s="196">
        <f t="shared" si="29"/>
        <v>0.20536204453804524</v>
      </c>
      <c r="AE203" s="197">
        <f>Cruise!$AA203/(Cruise!$AC203^3)</f>
        <v>14.93374390782837</v>
      </c>
      <c r="AF203" s="195"/>
      <c r="AG203" s="195"/>
      <c r="AH203" s="195"/>
      <c r="AI203" s="195"/>
      <c r="AJ203" s="195"/>
      <c r="AK203" s="195"/>
      <c r="AL203" s="195"/>
      <c r="AM203" s="195"/>
      <c r="AN203" s="195"/>
      <c r="AO203" s="195"/>
      <c r="AP203" s="195"/>
      <c r="AQ203" s="195"/>
      <c r="AR203" s="195"/>
      <c r="AS203" s="195"/>
      <c r="AT203" s="195"/>
      <c r="AU203" s="195"/>
      <c r="AV203" s="195"/>
      <c r="AW203" s="198">
        <f>Cruise!$I203/(Cruise!$S203*Cruise!$I203*Cruise!$K203*Cruise!$L203)^(1/3)</f>
        <v>6.6016646478225605</v>
      </c>
      <c r="AX203">
        <f>(Cruise!$S203*Cruise!$I203*Cruise!$K203*Cruise!$L203)*1.025/O203</f>
        <v>4.3325422932500119</v>
      </c>
    </row>
    <row r="204" spans="1:50" x14ac:dyDescent="0.3">
      <c r="A204" s="199" t="s">
        <v>183</v>
      </c>
      <c r="B204" s="200">
        <v>2009</v>
      </c>
      <c r="C204" s="200"/>
      <c r="D204" s="200">
        <f>2*450</f>
        <v>900</v>
      </c>
      <c r="E204" s="200">
        <v>335</v>
      </c>
      <c r="F204" s="200">
        <v>198.19</v>
      </c>
      <c r="G204" s="200">
        <v>169.2</v>
      </c>
      <c r="H204" s="200"/>
      <c r="I204" s="200">
        <f>IF(Cruise!$H204&gt;0,Cruise!$H204,Cruise!$F204)</f>
        <v>198.19</v>
      </c>
      <c r="J204" s="220"/>
      <c r="K204" s="200">
        <v>25.6</v>
      </c>
      <c r="L204" s="217">
        <v>6.4</v>
      </c>
      <c r="M204" s="200">
        <v>10479</v>
      </c>
      <c r="N204" s="200">
        <v>32346</v>
      </c>
      <c r="O204" s="200">
        <v>3000</v>
      </c>
      <c r="P204" s="200"/>
      <c r="Q204" s="200">
        <f t="shared" si="33"/>
        <v>0.70935557584555919</v>
      </c>
      <c r="R204" s="200">
        <f t="shared" si="38"/>
        <v>0.67213567838841815</v>
      </c>
      <c r="S204" s="200">
        <f t="shared" si="34"/>
        <v>0.66861305247786662</v>
      </c>
      <c r="T204" s="200">
        <f>(Cruise!$Q204+Cruise!$R204)/2</f>
        <v>0.69074562711698873</v>
      </c>
      <c r="U204" s="196">
        <f t="shared" si="25"/>
        <v>32471.449600000007</v>
      </c>
      <c r="V204" s="196">
        <f t="shared" si="26"/>
        <v>71.630423191261201</v>
      </c>
      <c r="W204" s="196">
        <f t="shared" si="27"/>
        <v>7.7417968749999995</v>
      </c>
      <c r="X204" s="196">
        <f t="shared" si="28"/>
        <v>4</v>
      </c>
      <c r="Y204" s="196">
        <f t="shared" si="30"/>
        <v>30.967187499999998</v>
      </c>
      <c r="Z204" s="200"/>
      <c r="AA204" s="200"/>
      <c r="AB204" s="200">
        <v>19</v>
      </c>
      <c r="AC204" s="200">
        <f t="shared" si="39"/>
        <v>9.7279999999999998</v>
      </c>
      <c r="AD204" s="196">
        <f t="shared" si="29"/>
        <v>0.22062168104431007</v>
      </c>
      <c r="AE204" s="204"/>
      <c r="AF204" s="200"/>
      <c r="AG204" s="200"/>
      <c r="AH204" s="200"/>
      <c r="AI204" s="200"/>
      <c r="AJ204" s="200"/>
      <c r="AK204" s="200"/>
      <c r="AL204" s="200"/>
      <c r="AM204" s="200"/>
      <c r="AN204" s="204"/>
      <c r="AO204" s="204"/>
      <c r="AP204" s="200"/>
      <c r="AQ204" s="200"/>
      <c r="AR204" s="200"/>
      <c r="AS204" s="200"/>
      <c r="AT204" s="200"/>
      <c r="AU204" s="200"/>
      <c r="AV204" s="200"/>
      <c r="AW204" s="205">
        <f>Cruise!$I204/(Cruise!$S204*Cruise!$I204*Cruise!$K204*Cruise!$L204)^(1/3)</f>
        <v>7.104326216623992</v>
      </c>
      <c r="AX204">
        <f>(Cruise!$S204*Cruise!$I204*Cruise!$K204*Cruise!$L204)*1.025/O204</f>
        <v>7.4178686371077118</v>
      </c>
    </row>
    <row r="205" spans="1:50" x14ac:dyDescent="0.3">
      <c r="A205" s="194" t="s">
        <v>184</v>
      </c>
      <c r="B205" s="195">
        <v>2003</v>
      </c>
      <c r="C205" s="195"/>
      <c r="D205" s="195">
        <v>106</v>
      </c>
      <c r="E205" s="195">
        <v>75</v>
      </c>
      <c r="F205" s="195"/>
      <c r="G205" s="195">
        <v>92.2</v>
      </c>
      <c r="H205" s="195">
        <v>102.7</v>
      </c>
      <c r="I205" s="195">
        <f>IF(Cruise!$H205&gt;0,Cruise!$H205,Cruise!$F205)</f>
        <v>102.7</v>
      </c>
      <c r="J205" s="195"/>
      <c r="K205" s="195">
        <v>14.25</v>
      </c>
      <c r="L205" s="195">
        <v>3.82</v>
      </c>
      <c r="M205" s="195"/>
      <c r="N205" s="195">
        <v>4000</v>
      </c>
      <c r="O205" s="195">
        <v>650</v>
      </c>
      <c r="P205" s="195"/>
      <c r="Q205" s="195">
        <f t="shared" si="33"/>
        <v>0.72770792831197262</v>
      </c>
      <c r="R205" s="195">
        <f t="shared" si="38"/>
        <v>0.68187750937366309</v>
      </c>
      <c r="S205" s="195">
        <f t="shared" si="34"/>
        <v>0.68929894133869063</v>
      </c>
      <c r="T205" s="195">
        <f>(Cruise!$Q205+Cruise!$R205)/2</f>
        <v>0.7047927188428178</v>
      </c>
      <c r="U205" s="196">
        <f t="shared" si="25"/>
        <v>5590.4745000000003</v>
      </c>
      <c r="V205" s="196">
        <f t="shared" si="26"/>
        <v>66.04799493175922</v>
      </c>
      <c r="W205" s="196">
        <f t="shared" si="27"/>
        <v>7.2070175438596493</v>
      </c>
      <c r="X205" s="196">
        <f t="shared" si="28"/>
        <v>3.7303664921465969</v>
      </c>
      <c r="Y205" s="196">
        <f t="shared" si="30"/>
        <v>26.884816753926703</v>
      </c>
      <c r="Z205" s="195"/>
      <c r="AA205" s="195">
        <v>2435</v>
      </c>
      <c r="AB205" s="195">
        <v>13</v>
      </c>
      <c r="AC205" s="195">
        <f t="shared" si="39"/>
        <v>6.6560000000000006</v>
      </c>
      <c r="AD205" s="196">
        <f t="shared" si="29"/>
        <v>0.20969766171906395</v>
      </c>
      <c r="AE205" s="197">
        <f>Cruise!$AA205/(Cruise!$AC205^3)</f>
        <v>8.257698567824086</v>
      </c>
      <c r="AF205" s="195"/>
      <c r="AG205" s="195"/>
      <c r="AH205" s="195"/>
      <c r="AI205" s="195"/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5"/>
      <c r="AT205" s="195"/>
      <c r="AU205" s="195"/>
      <c r="AV205" s="195"/>
      <c r="AW205" s="198">
        <f>Cruise!$I205/(Cruise!$S205*Cruise!$I205*Cruise!$K205*Cruise!$L205)^(1/3)</f>
        <v>6.5506593573551628</v>
      </c>
      <c r="AX205">
        <f>(Cruise!$S205*Cruise!$I205*Cruise!$K205*Cruise!$L205)*1.025/O205</f>
        <v>6.0766859358334138</v>
      </c>
    </row>
    <row r="206" spans="1:50" x14ac:dyDescent="0.3">
      <c r="A206" s="199" t="s">
        <v>185</v>
      </c>
      <c r="B206" s="200">
        <v>2014</v>
      </c>
      <c r="C206" s="200">
        <v>4180</v>
      </c>
      <c r="D206" s="200">
        <v>4905</v>
      </c>
      <c r="E206" s="200"/>
      <c r="F206" s="200">
        <f>0.3048*1141</f>
        <v>347.77680000000004</v>
      </c>
      <c r="G206" s="200"/>
      <c r="H206" s="200"/>
      <c r="I206" s="200">
        <f>IF(Cruise!$H206&gt;0,Cruise!$H206,Cruise!$F206)</f>
        <v>347.77680000000004</v>
      </c>
      <c r="J206" s="200"/>
      <c r="K206" s="200">
        <v>41</v>
      </c>
      <c r="L206" s="200">
        <v>8.5</v>
      </c>
      <c r="M206" s="200"/>
      <c r="N206" s="200">
        <v>167800</v>
      </c>
      <c r="O206" s="200">
        <v>10500</v>
      </c>
      <c r="P206" s="200"/>
      <c r="Q206" s="200">
        <f t="shared" si="33"/>
        <v>0.75602080924072101</v>
      </c>
      <c r="R206" s="200">
        <f t="shared" si="38"/>
        <v>0.75484639376285034</v>
      </c>
      <c r="S206" s="200">
        <f t="shared" si="34"/>
        <v>0.72483484567087786</v>
      </c>
      <c r="T206" s="200">
        <f>(Cruise!$Q206+Cruise!$R206)/2</f>
        <v>0.75543360150178573</v>
      </c>
      <c r="U206" s="196">
        <f t="shared" si="25"/>
        <v>121200.21480000002</v>
      </c>
      <c r="V206" s="196">
        <f t="shared" si="26"/>
        <v>78.878942200680754</v>
      </c>
      <c r="W206" s="196">
        <f t="shared" si="27"/>
        <v>8.4823609756097564</v>
      </c>
      <c r="X206" s="196">
        <f t="shared" si="28"/>
        <v>4.8235294117647056</v>
      </c>
      <c r="Y206" s="196">
        <f t="shared" si="30"/>
        <v>40.914917647058829</v>
      </c>
      <c r="Z206" s="200"/>
      <c r="AA206" s="200">
        <v>41000</v>
      </c>
      <c r="AB206" s="200">
        <v>22</v>
      </c>
      <c r="AC206" s="200">
        <f t="shared" si="39"/>
        <v>11.263999999999999</v>
      </c>
      <c r="AD206" s="196">
        <f t="shared" si="29"/>
        <v>0.19284475640433277</v>
      </c>
      <c r="AE206" s="204">
        <f>Cruise!$AA206/(Cruise!$AC206^3)</f>
        <v>28.688373823617297</v>
      </c>
      <c r="AF206" s="200"/>
      <c r="AG206" s="200"/>
      <c r="AH206" s="200"/>
      <c r="AI206" s="200"/>
      <c r="AJ206" s="200"/>
      <c r="AK206" s="200"/>
      <c r="AL206" s="200"/>
      <c r="AM206" s="200"/>
      <c r="AN206" s="200"/>
      <c r="AO206" s="200"/>
      <c r="AP206" s="200"/>
      <c r="AQ206" s="200"/>
      <c r="AR206" s="200"/>
      <c r="AS206" s="200"/>
      <c r="AT206" s="200"/>
      <c r="AU206" s="200"/>
      <c r="AV206" s="200"/>
      <c r="AW206" s="205">
        <f>Cruise!$I206/(Cruise!$S206*Cruise!$I206*Cruise!$K206*Cruise!$L206)^(1/3)</f>
        <v>7.8232364413034849</v>
      </c>
      <c r="AX206">
        <f>(Cruise!$S206*Cruise!$I206*Cruise!$K206*Cruise!$L206)*1.025/O206</f>
        <v>8.5758469013886796</v>
      </c>
    </row>
    <row r="207" spans="1:50" x14ac:dyDescent="0.3">
      <c r="A207" s="194" t="s">
        <v>186</v>
      </c>
      <c r="B207" s="195">
        <v>2010</v>
      </c>
      <c r="C207" s="195"/>
      <c r="D207" s="195">
        <f>2*2092</f>
        <v>4184</v>
      </c>
      <c r="E207" s="195">
        <v>996</v>
      </c>
      <c r="F207" s="195">
        <v>294</v>
      </c>
      <c r="G207" s="195">
        <v>265.36</v>
      </c>
      <c r="H207" s="195"/>
      <c r="I207" s="195">
        <f>IF(Cruise!$H207&gt;0,Cruise!$H207,Cruise!$F207)</f>
        <v>294</v>
      </c>
      <c r="J207" s="195">
        <v>8</v>
      </c>
      <c r="K207" s="195">
        <v>32.299999999999997</v>
      </c>
      <c r="L207" s="195"/>
      <c r="M207" s="195"/>
      <c r="N207" s="195">
        <v>90901</v>
      </c>
      <c r="O207" s="195"/>
      <c r="P207" s="195"/>
      <c r="Q207" s="195">
        <f t="shared" si="33"/>
        <v>0.73243918442444156</v>
      </c>
      <c r="R207" s="195">
        <f t="shared" si="38"/>
        <v>0.73597907810712138</v>
      </c>
      <c r="S207" s="195">
        <f t="shared" si="34"/>
        <v>0.69491365977702846</v>
      </c>
      <c r="T207" s="195">
        <f>(Cruise!$Q207+Cruise!$R207)/2</f>
        <v>0.73420913126578147</v>
      </c>
      <c r="U207" s="196"/>
      <c r="V207" s="196"/>
      <c r="W207" s="196">
        <f t="shared" si="27"/>
        <v>9.102167182662539</v>
      </c>
      <c r="X207" s="196"/>
      <c r="Y207" s="196"/>
      <c r="Z207" s="195">
        <f>Cruise!$I207/Cruise!$J207</f>
        <v>36.75</v>
      </c>
      <c r="AA207" s="195"/>
      <c r="AB207" s="195">
        <v>21.7</v>
      </c>
      <c r="AC207" s="195">
        <f t="shared" si="39"/>
        <v>11.1104</v>
      </c>
      <c r="AD207" s="196">
        <f t="shared" si="29"/>
        <v>0.20688143784259436</v>
      </c>
      <c r="AE207" s="197"/>
      <c r="AF207" s="195"/>
      <c r="AG207" s="195"/>
      <c r="AH207" s="195"/>
      <c r="AI207" s="195"/>
      <c r="AJ207" s="195"/>
      <c r="AK207" s="195"/>
      <c r="AL207" s="195"/>
      <c r="AM207" s="195"/>
      <c r="AN207" s="197"/>
      <c r="AO207" s="197"/>
      <c r="AP207" s="195"/>
      <c r="AQ207" s="195"/>
      <c r="AR207" s="195"/>
      <c r="AS207" s="195"/>
      <c r="AT207" s="195"/>
      <c r="AU207" s="195"/>
      <c r="AV207" s="195"/>
      <c r="AW207" s="198"/>
    </row>
    <row r="208" spans="1:50" x14ac:dyDescent="0.3">
      <c r="A208" s="194" t="s">
        <v>186</v>
      </c>
      <c r="B208" s="195">
        <v>2010</v>
      </c>
      <c r="C208" s="195"/>
      <c r="D208" s="195">
        <f>2*2092</f>
        <v>4184</v>
      </c>
      <c r="E208" s="195">
        <v>996</v>
      </c>
      <c r="F208" s="195">
        <v>294</v>
      </c>
      <c r="G208" s="195">
        <v>265.36</v>
      </c>
      <c r="H208" s="195"/>
      <c r="I208" s="200">
        <f>IF(Cruise!$H208&gt;0,Cruise!$H208,Cruise!$F208)</f>
        <v>294</v>
      </c>
      <c r="J208" s="195">
        <v>8</v>
      </c>
      <c r="K208" s="195">
        <v>32.299999999999997</v>
      </c>
      <c r="L208" s="195"/>
      <c r="M208" s="195"/>
      <c r="N208" s="195">
        <v>90901</v>
      </c>
      <c r="O208" s="195"/>
      <c r="P208" s="195"/>
      <c r="Q208" s="196">
        <f t="shared" si="33"/>
        <v>0.73243918442444156</v>
      </c>
      <c r="R208" s="196">
        <f t="shared" si="38"/>
        <v>0.73597907810712138</v>
      </c>
      <c r="S208" s="196">
        <f t="shared" si="34"/>
        <v>0.69491365977702846</v>
      </c>
      <c r="T208" s="196">
        <f>(Cruise!$Q208+Cruise!$R208)/2</f>
        <v>0.73420913126578147</v>
      </c>
      <c r="U208" s="196"/>
      <c r="V208" s="196"/>
      <c r="W208" s="196">
        <f t="shared" si="27"/>
        <v>9.102167182662539</v>
      </c>
      <c r="X208" s="196"/>
      <c r="Y208" s="196"/>
      <c r="Z208" s="196" t="e">
        <f>Cruise!#REF!/Cruise!#REF!</f>
        <v>#REF!</v>
      </c>
      <c r="AA208" s="195"/>
      <c r="AB208" s="195">
        <v>21.7</v>
      </c>
      <c r="AC208" s="196">
        <f t="shared" si="39"/>
        <v>11.1104</v>
      </c>
      <c r="AD208" s="196">
        <f t="shared" si="29"/>
        <v>0.20688143784259436</v>
      </c>
      <c r="AE208" s="197">
        <f>Cruise!$AA208/(Cruise!$AC208^3)</f>
        <v>0</v>
      </c>
      <c r="AF208" s="195"/>
      <c r="AG208" s="195"/>
      <c r="AH208" s="195"/>
      <c r="AI208" s="195"/>
      <c r="AJ208" s="195"/>
      <c r="AK208" s="195"/>
      <c r="AL208" s="195"/>
      <c r="AM208" s="195"/>
      <c r="AN208" s="197"/>
      <c r="AO208" s="197"/>
      <c r="AP208" s="195"/>
      <c r="AQ208" s="195"/>
      <c r="AR208" s="195"/>
      <c r="AS208" s="195"/>
      <c r="AT208" s="195"/>
      <c r="AU208" s="195"/>
      <c r="AV208" s="195"/>
      <c r="AW208" s="205"/>
    </row>
    <row r="209" spans="1:50" x14ac:dyDescent="0.3">
      <c r="A209" s="194" t="s">
        <v>187</v>
      </c>
      <c r="B209" s="195">
        <v>2004</v>
      </c>
      <c r="C209" s="195">
        <v>2592</v>
      </c>
      <c r="D209" s="195">
        <v>3090</v>
      </c>
      <c r="E209" s="195">
        <v>1253</v>
      </c>
      <c r="F209" s="195"/>
      <c r="G209" s="195"/>
      <c r="H209" s="195">
        <v>345</v>
      </c>
      <c r="I209" s="195">
        <f>IF(Cruise!$H209&gt;0,Cruise!$H209,Cruise!$F209)</f>
        <v>345</v>
      </c>
      <c r="J209" s="195"/>
      <c r="K209" s="195">
        <v>41</v>
      </c>
      <c r="L209" s="195">
        <v>9.9499999999999993</v>
      </c>
      <c r="M209" s="195"/>
      <c r="N209" s="195">
        <v>148528</v>
      </c>
      <c r="O209" s="195"/>
      <c r="P209" s="195">
        <v>0.63412932364329855</v>
      </c>
      <c r="Q209" s="195">
        <f t="shared" si="33"/>
        <v>0.63643584172637901</v>
      </c>
      <c r="R209" s="195">
        <f t="shared" si="38"/>
        <v>0.61075230362053667</v>
      </c>
      <c r="S209" s="195">
        <f t="shared" si="34"/>
        <v>0.60030984457537995</v>
      </c>
      <c r="T209" s="195">
        <f>(Cruise!$Q209+Cruise!$R209)/2</f>
        <v>0.6235940726734579</v>
      </c>
      <c r="U209" s="196">
        <f t="shared" si="25"/>
        <v>140742.75</v>
      </c>
      <c r="V209" s="196">
        <f t="shared" si="26"/>
        <v>79.273229436960534</v>
      </c>
      <c r="W209" s="196">
        <f t="shared" si="27"/>
        <v>8.4146341463414629</v>
      </c>
      <c r="X209" s="196">
        <f t="shared" si="28"/>
        <v>4.1206030150753774</v>
      </c>
      <c r="Y209" s="196">
        <f t="shared" si="30"/>
        <v>34.673366834170857</v>
      </c>
      <c r="Z209" s="195"/>
      <c r="AA209" s="195">
        <v>117200</v>
      </c>
      <c r="AB209" s="195">
        <v>30</v>
      </c>
      <c r="AC209" s="195">
        <f t="shared" si="39"/>
        <v>15.36</v>
      </c>
      <c r="AD209" s="196">
        <f t="shared" si="29"/>
        <v>0.26402628468667921</v>
      </c>
      <c r="AE209" s="197">
        <f>Cruise!$AA209/(Cruise!$AC209^3)</f>
        <v>32.341038739239728</v>
      </c>
      <c r="AF209" s="195">
        <v>800</v>
      </c>
      <c r="AG209" s="195" t="s">
        <v>188</v>
      </c>
      <c r="AH209" s="195" t="s">
        <v>189</v>
      </c>
      <c r="AI209" s="195">
        <v>1310</v>
      </c>
      <c r="AJ209" s="195"/>
      <c r="AK209" s="195">
        <v>17</v>
      </c>
      <c r="AL209" s="195">
        <v>12</v>
      </c>
      <c r="AM209" s="195"/>
      <c r="AN209" s="195"/>
      <c r="AO209" s="195" t="s">
        <v>190</v>
      </c>
      <c r="AP209" s="195" t="s">
        <v>191</v>
      </c>
      <c r="AQ209" s="195"/>
      <c r="AR209" s="195"/>
      <c r="AS209" s="195"/>
      <c r="AT209" s="195"/>
      <c r="AU209" s="195"/>
      <c r="AV209" s="195"/>
      <c r="AW209" s="198">
        <f>Cruise!$I209/(Cruise!$S209*Cruise!$I209*Cruise!$K209*Cruise!$L209)^(1/3)</f>
        <v>7.8623419641356378</v>
      </c>
    </row>
    <row r="210" spans="1:50" x14ac:dyDescent="0.3">
      <c r="A210" s="199" t="s">
        <v>192</v>
      </c>
      <c r="B210" s="200">
        <v>2007</v>
      </c>
      <c r="C210" s="200"/>
      <c r="D210" s="200">
        <f>2*2014</f>
        <v>4028</v>
      </c>
      <c r="E210" s="200">
        <v>900</v>
      </c>
      <c r="F210" s="200">
        <v>294</v>
      </c>
      <c r="G210" s="200"/>
      <c r="H210" s="200"/>
      <c r="I210" s="200">
        <f>IF(Cruise!$H210&gt;0,Cruise!$H210,Cruise!$F210)</f>
        <v>294</v>
      </c>
      <c r="J210" s="200">
        <v>7.9</v>
      </c>
      <c r="K210" s="200">
        <v>32.25</v>
      </c>
      <c r="L210" s="200"/>
      <c r="M210" s="200"/>
      <c r="N210" s="200">
        <v>90049</v>
      </c>
      <c r="O210" s="200">
        <v>7685</v>
      </c>
      <c r="P210" s="200"/>
      <c r="Q210" s="200">
        <f t="shared" si="33"/>
        <v>0.7804890667620763</v>
      </c>
      <c r="R210" s="200">
        <f t="shared" si="38"/>
        <v>0.81312022260228667</v>
      </c>
      <c r="S210" s="200">
        <f t="shared" si="34"/>
        <v>0.75980426140259161</v>
      </c>
      <c r="T210" s="200">
        <f>(Cruise!$Q210+Cruise!$R210)/2</f>
        <v>0.79680464468218148</v>
      </c>
      <c r="U210" s="196"/>
      <c r="V210" s="196"/>
      <c r="W210" s="196">
        <f t="shared" si="27"/>
        <v>9.1162790697674421</v>
      </c>
      <c r="X210" s="196"/>
      <c r="Y210" s="196"/>
      <c r="Z210" s="200">
        <f>Cruise!$I210/Cruise!$J210</f>
        <v>37.215189873417721</v>
      </c>
      <c r="AA210" s="200"/>
      <c r="AB210" s="200">
        <v>18.7</v>
      </c>
      <c r="AC210" s="200">
        <f t="shared" ref="AC210:AC217" si="40">(AB210*0.512)</f>
        <v>9.5744000000000007</v>
      </c>
      <c r="AD210" s="196">
        <f t="shared" si="29"/>
        <v>0.17828031740352601</v>
      </c>
      <c r="AE210" s="204"/>
      <c r="AF210" s="200"/>
      <c r="AG210" s="200"/>
      <c r="AH210" s="200"/>
      <c r="AI210" s="200"/>
      <c r="AJ210" s="200"/>
      <c r="AK210" s="200"/>
      <c r="AL210" s="200"/>
      <c r="AM210" s="200"/>
      <c r="AN210" s="204"/>
      <c r="AO210" s="204"/>
      <c r="AP210" s="200"/>
      <c r="AQ210" s="200"/>
      <c r="AR210" s="200"/>
      <c r="AS210" s="200"/>
      <c r="AT210" s="200"/>
      <c r="AU210" s="200"/>
      <c r="AV210" s="200"/>
      <c r="AW210" s="205"/>
    </row>
    <row r="211" spans="1:50" x14ac:dyDescent="0.3">
      <c r="A211" s="194" t="s">
        <v>193</v>
      </c>
      <c r="B211" s="195">
        <v>2010</v>
      </c>
      <c r="C211" s="195"/>
      <c r="D211" s="195">
        <f>2*450</f>
        <v>900</v>
      </c>
      <c r="E211" s="195">
        <v>335</v>
      </c>
      <c r="F211" s="195">
        <v>198</v>
      </c>
      <c r="G211" s="195">
        <v>169.2</v>
      </c>
      <c r="H211" s="195"/>
      <c r="I211" s="195">
        <f>IF(Cruise!$H211&gt;0,Cruise!$H211,Cruise!$F211)</f>
        <v>198</v>
      </c>
      <c r="J211" s="221"/>
      <c r="K211" s="195">
        <v>25.6</v>
      </c>
      <c r="L211" s="222">
        <v>6.5</v>
      </c>
      <c r="M211" s="195">
        <v>10532</v>
      </c>
      <c r="N211" s="195">
        <v>32346</v>
      </c>
      <c r="O211" s="195">
        <v>3000</v>
      </c>
      <c r="P211" s="195"/>
      <c r="Q211" s="195">
        <f t="shared" si="33"/>
        <v>0.70917778404147347</v>
      </c>
      <c r="R211" s="195">
        <f t="shared" si="38"/>
        <v>0.67174106123718613</v>
      </c>
      <c r="S211" s="195">
        <f t="shared" si="34"/>
        <v>0.66842069293117201</v>
      </c>
      <c r="T211" s="195">
        <f>(Cruise!$Q211+Cruise!$R211)/2</f>
        <v>0.6904594226393298</v>
      </c>
      <c r="U211" s="196">
        <f t="shared" si="25"/>
        <v>32947.200000000004</v>
      </c>
      <c r="V211" s="196">
        <f t="shared" si="26"/>
        <v>71.222466981551591</v>
      </c>
      <c r="W211" s="196">
        <f t="shared" si="27"/>
        <v>7.734375</v>
      </c>
      <c r="X211" s="196">
        <f t="shared" si="28"/>
        <v>3.9384615384615387</v>
      </c>
      <c r="Y211" s="196">
        <f t="shared" si="30"/>
        <v>30.46153846153846</v>
      </c>
      <c r="Z211" s="195"/>
      <c r="AA211" s="195"/>
      <c r="AB211" s="195">
        <v>19</v>
      </c>
      <c r="AC211" s="195">
        <f t="shared" si="40"/>
        <v>9.7279999999999998</v>
      </c>
      <c r="AD211" s="196">
        <f t="shared" si="29"/>
        <v>0.22072750949912298</v>
      </c>
      <c r="AE211" s="197"/>
      <c r="AF211" s="195"/>
      <c r="AG211" s="195"/>
      <c r="AH211" s="195"/>
      <c r="AI211" s="195"/>
      <c r="AJ211" s="195"/>
      <c r="AK211" s="195"/>
      <c r="AL211" s="195"/>
      <c r="AM211" s="195"/>
      <c r="AN211" s="197"/>
      <c r="AO211" s="197"/>
      <c r="AP211" s="195"/>
      <c r="AQ211" s="195"/>
      <c r="AR211" s="195"/>
      <c r="AS211" s="195"/>
      <c r="AT211" s="195"/>
      <c r="AU211" s="195"/>
      <c r="AV211" s="195"/>
      <c r="AW211" s="198">
        <f>Cruise!$I211/(Cruise!$S211*Cruise!$I211*Cruise!$K211*Cruise!$L211)^(1/3)</f>
        <v>7.0638650010293862</v>
      </c>
      <c r="AX211">
        <f>(Cruise!$S211*Cruise!$I211*Cruise!$K211*Cruise!$L211)*1.025/O211</f>
        <v>7.5243850034984865</v>
      </c>
    </row>
    <row r="212" spans="1:50" x14ac:dyDescent="0.3">
      <c r="A212" s="199" t="s">
        <v>194</v>
      </c>
      <c r="B212" s="200">
        <v>2014</v>
      </c>
      <c r="C212" s="200"/>
      <c r="D212" s="200">
        <v>3560</v>
      </c>
      <c r="E212" s="200">
        <v>1346</v>
      </c>
      <c r="F212" s="200">
        <v>330</v>
      </c>
      <c r="G212" s="200"/>
      <c r="H212" s="200"/>
      <c r="I212" s="200">
        <f>IF(Cruise!$H212&gt;0,Cruise!$H212,Cruise!$F212)</f>
        <v>330</v>
      </c>
      <c r="J212" s="200"/>
      <c r="K212" s="200">
        <v>44</v>
      </c>
      <c r="L212" s="200">
        <v>8.5</v>
      </c>
      <c r="M212" s="200"/>
      <c r="N212" s="200">
        <v>139000</v>
      </c>
      <c r="O212" s="200">
        <v>10900</v>
      </c>
      <c r="P212" s="200"/>
      <c r="Q212" s="200">
        <f t="shared" ref="Q212:Q245" si="41">1.08-1.68*AD212</f>
        <v>0.77159746691635256</v>
      </c>
      <c r="R212" s="200">
        <f t="shared" si="38"/>
        <v>0.75314988137862315</v>
      </c>
      <c r="S212" s="200">
        <f t="shared" ref="S212:S245" si="42">0.27/(AD212^(3/5))</f>
        <v>0.74658381596647438</v>
      </c>
      <c r="T212" s="200">
        <f>(Cruise!$Q212+Cruise!$R212)/2</f>
        <v>0.7623736741474878</v>
      </c>
      <c r="U212" s="196">
        <f t="shared" si="25"/>
        <v>123420</v>
      </c>
      <c r="V212" s="196">
        <f t="shared" si="26"/>
        <v>73.666017279373079</v>
      </c>
      <c r="W212" s="196">
        <f t="shared" si="27"/>
        <v>7.5</v>
      </c>
      <c r="X212" s="196">
        <f t="shared" si="28"/>
        <v>5.1764705882352944</v>
      </c>
      <c r="Y212" s="196">
        <f t="shared" si="30"/>
        <v>38.823529411764703</v>
      </c>
      <c r="Z212" s="200"/>
      <c r="AA212" s="200">
        <v>62400</v>
      </c>
      <c r="AB212" s="200">
        <v>20.399999999999999</v>
      </c>
      <c r="AC212" s="200">
        <f t="shared" si="40"/>
        <v>10.444799999999999</v>
      </c>
      <c r="AD212" s="196">
        <f t="shared" si="29"/>
        <v>0.18357293635931402</v>
      </c>
      <c r="AE212" s="204">
        <f>Cruise!$AA212/(Cruise!$AC212^3)</f>
        <v>54.762618314228575</v>
      </c>
      <c r="AF212" s="200"/>
      <c r="AG212" s="200"/>
      <c r="AH212" s="200"/>
      <c r="AI212" s="200"/>
      <c r="AJ212" s="200"/>
      <c r="AK212" s="200"/>
      <c r="AL212" s="200"/>
      <c r="AM212" s="200"/>
      <c r="AN212" s="200"/>
      <c r="AO212" s="200"/>
      <c r="AP212" s="200"/>
      <c r="AQ212" s="200"/>
      <c r="AR212" s="200"/>
      <c r="AS212" s="200"/>
      <c r="AT212" s="200"/>
      <c r="AU212" s="200"/>
      <c r="AV212" s="200"/>
      <c r="AW212" s="205">
        <f>Cruise!$I212/(Cruise!$S212*Cruise!$I212*Cruise!$K212*Cruise!$L212)^(1/3)</f>
        <v>7.3062170306425589</v>
      </c>
      <c r="AX212">
        <f>(Cruise!$S212*Cruise!$I212*Cruise!$K212*Cruise!$L212)*1.025/O212</f>
        <v>8.6648586174997089</v>
      </c>
    </row>
    <row r="213" spans="1:50" x14ac:dyDescent="0.3">
      <c r="A213" s="194" t="s">
        <v>195</v>
      </c>
      <c r="B213" s="195">
        <v>1998</v>
      </c>
      <c r="C213" s="195"/>
      <c r="D213" s="195">
        <f>2*684</f>
        <v>1368</v>
      </c>
      <c r="E213" s="195">
        <v>400</v>
      </c>
      <c r="F213" s="195">
        <v>181</v>
      </c>
      <c r="G213" s="195">
        <v>154.85</v>
      </c>
      <c r="H213" s="195"/>
      <c r="I213" s="195">
        <f>IF(Cruise!$H213&gt;0,Cruise!$H213,Cruise!$F213)</f>
        <v>181</v>
      </c>
      <c r="J213" s="195">
        <v>5.95</v>
      </c>
      <c r="K213" s="195">
        <v>25.46</v>
      </c>
      <c r="L213" s="195">
        <v>5.95</v>
      </c>
      <c r="M213" s="195">
        <v>11481</v>
      </c>
      <c r="N213" s="195">
        <v>30277</v>
      </c>
      <c r="O213" s="195">
        <v>2700</v>
      </c>
      <c r="P213" s="195"/>
      <c r="Q213" s="195">
        <f t="shared" si="41"/>
        <v>0.71256717092149102</v>
      </c>
      <c r="R213" s="195">
        <f t="shared" si="38"/>
        <v>0.66063045950938581</v>
      </c>
      <c r="S213" s="195">
        <f t="shared" si="42"/>
        <v>0.67211340792604035</v>
      </c>
      <c r="T213" s="195">
        <f>(Cruise!$Q213+Cruise!$R213)/2</f>
        <v>0.68659881521543842</v>
      </c>
      <c r="U213" s="196">
        <f t="shared" si="25"/>
        <v>27419.147000000001</v>
      </c>
      <c r="V213" s="196">
        <f t="shared" si="26"/>
        <v>69.090928686804773</v>
      </c>
      <c r="W213" s="196">
        <f t="shared" si="27"/>
        <v>7.1091908876669283</v>
      </c>
      <c r="X213" s="196">
        <f t="shared" si="28"/>
        <v>4.2789915966386554</v>
      </c>
      <c r="Y213" s="196">
        <f t="shared" si="30"/>
        <v>30.420168067226889</v>
      </c>
      <c r="Z213" s="195">
        <f>Cruise!$I213/Cruise!$J213</f>
        <v>30.420168067226889</v>
      </c>
      <c r="AA213" s="195"/>
      <c r="AB213" s="195">
        <v>18</v>
      </c>
      <c r="AC213" s="195">
        <f t="shared" si="40"/>
        <v>9.2160000000000011</v>
      </c>
      <c r="AD213" s="196">
        <f t="shared" si="29"/>
        <v>0.21871001730863635</v>
      </c>
      <c r="AE213" s="197"/>
      <c r="AF213" s="195"/>
      <c r="AG213" s="195"/>
      <c r="AH213" s="195"/>
      <c r="AI213" s="195"/>
      <c r="AJ213" s="195"/>
      <c r="AK213" s="195"/>
      <c r="AL213" s="195"/>
      <c r="AM213" s="195"/>
      <c r="AN213" s="195"/>
      <c r="AO213" s="197"/>
      <c r="AP213" s="195"/>
      <c r="AQ213" s="195"/>
      <c r="AR213" s="195"/>
      <c r="AS213" s="195"/>
      <c r="AT213" s="195"/>
      <c r="AU213" s="195"/>
      <c r="AV213" s="195"/>
      <c r="AW213" s="198">
        <f>Cruise!$I213/(Cruise!$S213*Cruise!$I213*Cruise!$K213*Cruise!$L213)^(1/3)</f>
        <v>6.8524584126769206</v>
      </c>
      <c r="AX213">
        <f>(Cruise!$S213*Cruise!$I213*Cruise!$K213*Cruise!$L213)*1.025/O213</f>
        <v>6.9961095336703485</v>
      </c>
    </row>
    <row r="214" spans="1:50" x14ac:dyDescent="0.3">
      <c r="A214" s="199" t="s">
        <v>196</v>
      </c>
      <c r="B214" s="200">
        <v>2012</v>
      </c>
      <c r="C214" s="200"/>
      <c r="D214" s="200">
        <f>2*1250</f>
        <v>2500</v>
      </c>
      <c r="E214" s="200">
        <v>800</v>
      </c>
      <c r="F214" s="200">
        <v>251</v>
      </c>
      <c r="G214" s="200"/>
      <c r="H214" s="200"/>
      <c r="I214" s="200">
        <f>IF(Cruise!$H214&gt;0,Cruise!$H214,Cruise!$F214)</f>
        <v>251</v>
      </c>
      <c r="J214" s="204">
        <f>L214*0.3048</f>
        <v>2.2311360000000002</v>
      </c>
      <c r="K214" s="200">
        <v>32.200000000000003</v>
      </c>
      <c r="L214" s="217">
        <v>7.32</v>
      </c>
      <c r="M214" s="200">
        <v>29187</v>
      </c>
      <c r="N214" s="200">
        <v>66172</v>
      </c>
      <c r="O214" s="200">
        <v>7662</v>
      </c>
      <c r="P214" s="200"/>
      <c r="Q214" s="200">
        <f t="shared" si="41"/>
        <v>0.73331274689733794</v>
      </c>
      <c r="R214" s="200">
        <f t="shared" si="38"/>
        <v>0.70410256029759466</v>
      </c>
      <c r="S214" s="200">
        <f t="shared" si="42"/>
        <v>0.69596373287899405</v>
      </c>
      <c r="T214" s="200">
        <f>(Cruise!$Q214+Cruise!$R214)/2</f>
        <v>0.71870765359746636</v>
      </c>
      <c r="U214" s="196">
        <f t="shared" si="25"/>
        <v>59161.704000000005</v>
      </c>
      <c r="V214" s="196">
        <f t="shared" si="26"/>
        <v>73.289076440347003</v>
      </c>
      <c r="W214" s="196">
        <f t="shared" si="27"/>
        <v>7.7950310559006208</v>
      </c>
      <c r="X214" s="196">
        <f t="shared" si="28"/>
        <v>4.3989071038251364</v>
      </c>
      <c r="Y214" s="196">
        <f t="shared" si="30"/>
        <v>34.289617486338798</v>
      </c>
      <c r="Z214" s="200">
        <f>Cruise!$I214/Cruise!$J214</f>
        <v>112.49874503391993</v>
      </c>
      <c r="AA214" s="200"/>
      <c r="AB214" s="200">
        <v>20</v>
      </c>
      <c r="AC214" s="200">
        <f t="shared" si="40"/>
        <v>10.24</v>
      </c>
      <c r="AD214" s="196">
        <f t="shared" si="29"/>
        <v>0.20636146018015603</v>
      </c>
      <c r="AE214" s="204"/>
      <c r="AF214" s="200"/>
      <c r="AG214" s="200"/>
      <c r="AH214" s="200"/>
      <c r="AI214" s="200"/>
      <c r="AJ214" s="200"/>
      <c r="AK214" s="200"/>
      <c r="AL214" s="200"/>
      <c r="AM214" s="200"/>
      <c r="AN214" s="200"/>
      <c r="AO214" s="204"/>
      <c r="AP214" s="200"/>
      <c r="AQ214" s="200"/>
      <c r="AR214" s="200"/>
      <c r="AS214" s="200"/>
      <c r="AT214" s="200"/>
      <c r="AU214" s="200"/>
      <c r="AV214" s="200"/>
      <c r="AW214" s="205">
        <f>Cruise!$I214/(Cruise!$S214*Cruise!$I214*Cruise!$K214*Cruise!$L214)^(1/3)</f>
        <v>7.2688319285378427</v>
      </c>
      <c r="AX214">
        <f>(Cruise!$S214*Cruise!$I214*Cruise!$K214*Cruise!$L214)*1.025/O214</f>
        <v>5.5081911208960026</v>
      </c>
    </row>
    <row r="215" spans="1:50" x14ac:dyDescent="0.3">
      <c r="A215" s="194" t="s">
        <v>197</v>
      </c>
      <c r="B215" s="195">
        <v>1993</v>
      </c>
      <c r="C215" s="195"/>
      <c r="D215" s="195">
        <v>1700</v>
      </c>
      <c r="E215" s="195"/>
      <c r="F215" s="195"/>
      <c r="G215" s="195"/>
      <c r="H215" s="195">
        <v>136.12</v>
      </c>
      <c r="I215" s="195">
        <f>IF(Cruise!$H215&gt;0,Cruise!$H215,Cruise!$F215)</f>
        <v>136.12</v>
      </c>
      <c r="J215" s="195"/>
      <c r="K215" s="195">
        <v>24.24</v>
      </c>
      <c r="L215" s="195">
        <v>5.4</v>
      </c>
      <c r="M215" s="195"/>
      <c r="N215" s="195"/>
      <c r="O215" s="195">
        <v>2300</v>
      </c>
      <c r="P215" s="195"/>
      <c r="Q215" s="195">
        <f t="shared" si="41"/>
        <v>0.57862419505440132</v>
      </c>
      <c r="R215" s="195">
        <f t="shared" si="38"/>
        <v>0.50740506062065149</v>
      </c>
      <c r="S215" s="195">
        <f t="shared" si="42"/>
        <v>0.55776506580349916</v>
      </c>
      <c r="T215" s="195">
        <f>(Cruise!$Q215+Cruise!$R215)/2</f>
        <v>0.54301462783752641</v>
      </c>
      <c r="U215" s="196">
        <f t="shared" si="25"/>
        <v>17817.56352</v>
      </c>
      <c r="V215" s="196">
        <f t="shared" si="26"/>
        <v>63.83566011123348</v>
      </c>
      <c r="W215" s="196">
        <f t="shared" si="27"/>
        <v>5.6155115511551159</v>
      </c>
      <c r="X215" s="196">
        <f t="shared" si="28"/>
        <v>4.488888888888888</v>
      </c>
      <c r="Y215" s="196">
        <f t="shared" si="30"/>
        <v>25.207407407407405</v>
      </c>
      <c r="Z215" s="195"/>
      <c r="AA215" s="195">
        <v>17600</v>
      </c>
      <c r="AB215" s="195">
        <v>21.3</v>
      </c>
      <c r="AC215" s="195">
        <f t="shared" si="40"/>
        <v>10.9056</v>
      </c>
      <c r="AD215" s="196">
        <f t="shared" si="29"/>
        <v>0.29843797913428499</v>
      </c>
      <c r="AE215" s="197">
        <f>Cruise!$AA215/(Cruise!$AC215^3)</f>
        <v>13.569504037250249</v>
      </c>
      <c r="AF215" s="195"/>
      <c r="AG215" s="195"/>
      <c r="AH215" s="195"/>
      <c r="AI215" s="195"/>
      <c r="AJ215" s="195" t="s">
        <v>129</v>
      </c>
      <c r="AK215" s="195"/>
      <c r="AL215" s="195"/>
      <c r="AM215" s="195"/>
      <c r="AN215" s="195"/>
      <c r="AO215" s="195"/>
      <c r="AP215" s="195"/>
      <c r="AQ215" s="195" t="s">
        <v>89</v>
      </c>
      <c r="AR215" s="195"/>
      <c r="AS215" s="195"/>
      <c r="AT215" s="195"/>
      <c r="AU215" s="195"/>
      <c r="AV215" s="195"/>
      <c r="AW215" s="198">
        <f>Cruise!$I215/(Cruise!$S215*Cruise!$I215*Cruise!$K215*Cruise!$L215)^(1/3)</f>
        <v>6.3312393460640859</v>
      </c>
      <c r="AX215">
        <f>(Cruise!$S215*Cruise!$I215*Cruise!$K215*Cruise!$L215)*1.025/O215</f>
        <v>4.4288977614872147</v>
      </c>
    </row>
    <row r="216" spans="1:50" x14ac:dyDescent="0.3">
      <c r="A216" s="199" t="s">
        <v>198</v>
      </c>
      <c r="B216" s="200">
        <v>2013</v>
      </c>
      <c r="C216" s="200"/>
      <c r="D216" s="200">
        <v>3600</v>
      </c>
      <c r="E216" s="200">
        <v>1346</v>
      </c>
      <c r="F216" s="200">
        <v>330</v>
      </c>
      <c r="G216" s="200"/>
      <c r="H216" s="200"/>
      <c r="I216" s="200">
        <f>IF(Cruise!$H216&gt;0,Cruise!$H216,Cruise!$F216)</f>
        <v>330</v>
      </c>
      <c r="J216" s="200"/>
      <c r="K216" s="200">
        <v>38.4</v>
      </c>
      <c r="L216" s="200">
        <v>8.5299999999999994</v>
      </c>
      <c r="M216" s="200"/>
      <c r="N216" s="200">
        <v>141000</v>
      </c>
      <c r="O216" s="200"/>
      <c r="P216" s="200"/>
      <c r="Q216" s="200">
        <f t="shared" si="41"/>
        <v>0.74740903294900762</v>
      </c>
      <c r="R216" s="200">
        <f t="shared" si="38"/>
        <v>0.74466022693032785</v>
      </c>
      <c r="S216" s="200">
        <f t="shared" si="42"/>
        <v>0.71351492717791787</v>
      </c>
      <c r="T216" s="200">
        <f>(Cruise!$Q216+Cruise!$R216)/2</f>
        <v>0.74603462993966774</v>
      </c>
      <c r="U216" s="196">
        <f t="shared" si="25"/>
        <v>108092.15999999999</v>
      </c>
      <c r="V216" s="196">
        <f t="shared" si="26"/>
        <v>78.166885610854408</v>
      </c>
      <c r="W216" s="196">
        <f t="shared" si="27"/>
        <v>8.59375</v>
      </c>
      <c r="X216" s="196">
        <f t="shared" si="28"/>
        <v>4.5017584994138335</v>
      </c>
      <c r="Y216" s="196">
        <f t="shared" si="30"/>
        <v>38.686987104337632</v>
      </c>
      <c r="Z216" s="200"/>
      <c r="AA216" s="200">
        <v>52000</v>
      </c>
      <c r="AB216" s="200">
        <v>22</v>
      </c>
      <c r="AC216" s="200">
        <f t="shared" si="40"/>
        <v>11.263999999999999</v>
      </c>
      <c r="AD216" s="196">
        <f t="shared" si="29"/>
        <v>0.19797081372082884</v>
      </c>
      <c r="AE216" s="204">
        <f>Cruise!$AA216/(Cruise!$AC216^3)</f>
        <v>36.385254605563404</v>
      </c>
      <c r="AF216" s="200"/>
      <c r="AG216" s="200"/>
      <c r="AH216" s="200"/>
      <c r="AI216" s="200"/>
      <c r="AJ216" s="200"/>
      <c r="AK216" s="200"/>
      <c r="AL216" s="200"/>
      <c r="AM216" s="200"/>
      <c r="AN216" s="200"/>
      <c r="AO216" s="200"/>
      <c r="AP216" s="200"/>
      <c r="AQ216" s="200"/>
      <c r="AR216" s="200"/>
      <c r="AS216" s="200"/>
      <c r="AT216" s="200"/>
      <c r="AU216" s="200"/>
      <c r="AV216" s="200"/>
      <c r="AW216" s="205">
        <f>Cruise!$I216/(Cruise!$S216*Cruise!$I216*Cruise!$K216*Cruise!$L216)^(1/3)</f>
        <v>7.7526144615154235</v>
      </c>
    </row>
    <row r="217" spans="1:50" x14ac:dyDescent="0.3">
      <c r="A217" s="194" t="s">
        <v>198</v>
      </c>
      <c r="B217" s="195">
        <v>2001</v>
      </c>
      <c r="C217" s="195"/>
      <c r="D217" s="195">
        <v>710</v>
      </c>
      <c r="E217" s="195"/>
      <c r="F217" s="195"/>
      <c r="G217" s="195"/>
      <c r="H217" s="195">
        <v>181</v>
      </c>
      <c r="I217" s="195">
        <f>IF(Cruise!$H217&gt;0,Cruise!$H217,Cruise!$F217)</f>
        <v>181</v>
      </c>
      <c r="J217" s="195"/>
      <c r="K217" s="195">
        <v>25.46</v>
      </c>
      <c r="L217" s="195">
        <v>6</v>
      </c>
      <c r="M217" s="195"/>
      <c r="N217" s="195"/>
      <c r="O217" s="195">
        <v>2700</v>
      </c>
      <c r="P217" s="195"/>
      <c r="Q217" s="195">
        <f t="shared" si="41"/>
        <v>0.71256717092149102</v>
      </c>
      <c r="R217" s="195">
        <f t="shared" si="38"/>
        <v>0.66063045950938581</v>
      </c>
      <c r="S217" s="195">
        <f t="shared" si="42"/>
        <v>0.67211340792604035</v>
      </c>
      <c r="T217" s="195">
        <f>(Cruise!$Q217+Cruise!$R217)/2</f>
        <v>0.68659881521543842</v>
      </c>
      <c r="U217" s="196">
        <f t="shared" si="25"/>
        <v>27649.56</v>
      </c>
      <c r="V217" s="196">
        <f t="shared" si="26"/>
        <v>68.898473849541588</v>
      </c>
      <c r="W217" s="196">
        <f t="shared" si="27"/>
        <v>7.1091908876669283</v>
      </c>
      <c r="X217" s="196">
        <f t="shared" si="28"/>
        <v>4.2433333333333332</v>
      </c>
      <c r="Y217" s="196">
        <f t="shared" si="30"/>
        <v>30.166666666666668</v>
      </c>
      <c r="Z217" s="195"/>
      <c r="AA217" s="195">
        <v>21308</v>
      </c>
      <c r="AB217" s="195">
        <v>18</v>
      </c>
      <c r="AC217" s="195">
        <f t="shared" si="40"/>
        <v>9.2160000000000011</v>
      </c>
      <c r="AD217" s="196">
        <f t="shared" si="29"/>
        <v>0.21871001730863635</v>
      </c>
      <c r="AE217" s="197">
        <f>Cruise!$AA217/(Cruise!$AC217^3)</f>
        <v>27.22170290796517</v>
      </c>
      <c r="AF217" s="195"/>
      <c r="AG217" s="195"/>
      <c r="AH217" s="195"/>
      <c r="AI217" s="195"/>
      <c r="AJ217" s="195"/>
      <c r="AK217" s="195"/>
      <c r="AL217" s="195"/>
      <c r="AM217" s="195"/>
      <c r="AN217" s="195"/>
      <c r="AO217" s="195"/>
      <c r="AP217" s="195"/>
      <c r="AQ217" s="195" t="s">
        <v>89</v>
      </c>
      <c r="AR217" s="195"/>
      <c r="AS217" s="195"/>
      <c r="AT217" s="195"/>
      <c r="AU217" s="195"/>
      <c r="AV217" s="195"/>
      <c r="AW217" s="198">
        <f>Cruise!$I217/(Cruise!$S217*Cruise!$I217*Cruise!$K217*Cruise!$L217)^(1/3)</f>
        <v>6.8333706859126364</v>
      </c>
      <c r="AX217">
        <f>(Cruise!$S217*Cruise!$I217*Cruise!$K217*Cruise!$L217)*1.025/O217</f>
        <v>7.0549003700877462</v>
      </c>
    </row>
    <row r="218" spans="1:50" x14ac:dyDescent="0.3">
      <c r="A218" s="207" t="s">
        <v>198</v>
      </c>
      <c r="B218" s="200"/>
      <c r="C218" s="200"/>
      <c r="D218" s="200"/>
      <c r="E218" s="200"/>
      <c r="F218" s="201">
        <v>329</v>
      </c>
      <c r="G218" s="201">
        <v>329</v>
      </c>
      <c r="H218" s="201">
        <v>329</v>
      </c>
      <c r="I218" s="203">
        <f>IF(Cruise!$H218&gt;0,Cruise!$H218,Cruise!$F218)</f>
        <v>329</v>
      </c>
      <c r="J218" s="200"/>
      <c r="K218" s="201">
        <v>44</v>
      </c>
      <c r="L218" s="201">
        <v>8.5</v>
      </c>
      <c r="M218" s="200"/>
      <c r="N218" s="208">
        <v>139000</v>
      </c>
      <c r="O218" s="202">
        <v>10900</v>
      </c>
      <c r="P218" s="200"/>
      <c r="Q218" s="203">
        <f t="shared" si="41"/>
        <v>0.43533614234881912</v>
      </c>
      <c r="R218" s="203">
        <f t="shared" ref="R218:R230" si="43">(0.23/AD218^(2/3))*((I218/K218)+20)/26</f>
        <v>0.46030470967218301</v>
      </c>
      <c r="S218" s="203">
        <f t="shared" si="42"/>
        <v>0.47967749104507473</v>
      </c>
      <c r="T218" s="203">
        <f>(Cruise!$Q218+Cruise!$R218)/2</f>
        <v>0.44782042601050109</v>
      </c>
      <c r="U218" s="196">
        <f t="shared" si="25"/>
        <v>123046</v>
      </c>
      <c r="V218" s="196">
        <f t="shared" si="26"/>
        <v>85.198426334774879</v>
      </c>
      <c r="W218" s="196">
        <f t="shared" si="27"/>
        <v>7.4772727272727275</v>
      </c>
      <c r="X218" s="196">
        <f t="shared" si="28"/>
        <v>5.1764705882352944</v>
      </c>
      <c r="Y218" s="196">
        <f t="shared" si="30"/>
        <v>38.705882352941174</v>
      </c>
      <c r="Z218" s="203"/>
      <c r="AA218" s="200"/>
      <c r="AB218" s="200"/>
      <c r="AC218" s="209">
        <v>21.8</v>
      </c>
      <c r="AD218" s="196">
        <f t="shared" si="29"/>
        <v>0.3837284866971315</v>
      </c>
      <c r="AE218" s="204">
        <f>Cruise!$AA218/(Cruise!$AC218^3)</f>
        <v>0</v>
      </c>
      <c r="AF218" s="200"/>
      <c r="AG218" s="200"/>
      <c r="AH218" s="200"/>
      <c r="AI218" s="200"/>
      <c r="AJ218" s="200"/>
      <c r="AK218" s="200"/>
      <c r="AL218" s="200"/>
      <c r="AM218" s="200"/>
      <c r="AN218" s="200"/>
      <c r="AO218" s="200"/>
      <c r="AP218" s="200"/>
      <c r="AQ218" s="200"/>
      <c r="AR218" s="200"/>
      <c r="AS218" s="200"/>
      <c r="AT218" s="200"/>
      <c r="AU218" s="200"/>
      <c r="AV218" s="200"/>
      <c r="AW218" s="210">
        <f>Cruise!$I218/(Cruise!$S218*Cruise!$I218*Cruise!$K218*Cruise!$L218)^(1/3)</f>
        <v>8.4500047166982544</v>
      </c>
      <c r="AX218">
        <f>(Cruise!$S218*Cruise!$I218*Cruise!$K218*Cruise!$L218)*1.025/O218</f>
        <v>5.5502712364413362</v>
      </c>
    </row>
    <row r="219" spans="1:50" x14ac:dyDescent="0.3">
      <c r="A219" s="194" t="s">
        <v>199</v>
      </c>
      <c r="B219" s="195">
        <v>1989</v>
      </c>
      <c r="C219" s="195"/>
      <c r="D219" s="195">
        <v>260</v>
      </c>
      <c r="E219" s="195"/>
      <c r="F219" s="195"/>
      <c r="G219" s="195"/>
      <c r="H219" s="195">
        <v>154.41</v>
      </c>
      <c r="I219" s="195">
        <f>IF(Cruise!$H219&gt;0,Cruise!$H219,Cruise!$F219)</f>
        <v>154.41</v>
      </c>
      <c r="J219" s="195"/>
      <c r="K219" s="195">
        <v>21.04</v>
      </c>
      <c r="L219" s="195">
        <v>5.0199999999999996</v>
      </c>
      <c r="M219" s="195"/>
      <c r="N219" s="195"/>
      <c r="O219" s="195">
        <v>2635</v>
      </c>
      <c r="P219" s="195"/>
      <c r="Q219" s="195">
        <f t="shared" si="41"/>
        <v>0.69323686111512728</v>
      </c>
      <c r="R219" s="195">
        <f t="shared" si="43"/>
        <v>0.64384004323991684</v>
      </c>
      <c r="S219" s="195">
        <f t="shared" si="42"/>
        <v>0.65175187232771714</v>
      </c>
      <c r="T219" s="195">
        <f>(Cruise!$Q219+Cruise!$R219)/2</f>
        <v>0.66853845217752206</v>
      </c>
      <c r="U219" s="196">
        <f t="shared" si="25"/>
        <v>16308.907727999998</v>
      </c>
      <c r="V219" s="196">
        <f t="shared" si="26"/>
        <v>70.807781960506787</v>
      </c>
      <c r="W219" s="196">
        <f t="shared" si="27"/>
        <v>7.3388783269961975</v>
      </c>
      <c r="X219" s="196">
        <f t="shared" si="28"/>
        <v>4.191235059760956</v>
      </c>
      <c r="Y219" s="196">
        <f t="shared" si="30"/>
        <v>30.758964143426297</v>
      </c>
      <c r="Z219" s="195"/>
      <c r="AA219" s="195">
        <v>7360</v>
      </c>
      <c r="AB219" s="195">
        <v>17.5</v>
      </c>
      <c r="AC219" s="195">
        <f>(AB219*0.512)</f>
        <v>8.9600000000000009</v>
      </c>
      <c r="AD219" s="196">
        <f t="shared" si="29"/>
        <v>0.23021615409813859</v>
      </c>
      <c r="AE219" s="197">
        <f>Cruise!$AA219/(Cruise!$AC219^3)</f>
        <v>10.231841062317782</v>
      </c>
      <c r="AF219" s="195"/>
      <c r="AG219" s="195"/>
      <c r="AH219" s="195"/>
      <c r="AI219" s="195"/>
      <c r="AJ219" s="195"/>
      <c r="AK219" s="195"/>
      <c r="AL219" s="195"/>
      <c r="AM219" s="195"/>
      <c r="AN219" s="195"/>
      <c r="AO219" s="195"/>
      <c r="AP219" s="195"/>
      <c r="AQ219" s="195" t="s">
        <v>89</v>
      </c>
      <c r="AR219" s="195"/>
      <c r="AS219" s="195"/>
      <c r="AT219" s="195"/>
      <c r="AU219" s="195"/>
      <c r="AV219" s="195"/>
      <c r="AW219" s="198">
        <f>Cruise!$I219/(Cruise!$S219*Cruise!$I219*Cruise!$K219*Cruise!$L219)^(1/3)</f>
        <v>7.0227364199684637</v>
      </c>
      <c r="AX219">
        <f>(Cruise!$S219*Cruise!$I219*Cruise!$K219*Cruise!$L219)*1.025/O219</f>
        <v>4.134760977619572</v>
      </c>
    </row>
    <row r="220" spans="1:50" x14ac:dyDescent="0.3">
      <c r="A220" s="199" t="s">
        <v>200</v>
      </c>
      <c r="B220" s="200">
        <v>1996</v>
      </c>
      <c r="C220" s="200"/>
      <c r="D220" s="200">
        <v>212</v>
      </c>
      <c r="E220" s="200"/>
      <c r="F220" s="200"/>
      <c r="G220" s="200"/>
      <c r="H220" s="200">
        <v>135</v>
      </c>
      <c r="I220" s="200">
        <f>IF(Cruise!$H220&gt;0,Cruise!$H220,Cruise!$F220)</f>
        <v>135</v>
      </c>
      <c r="J220" s="200"/>
      <c r="K220" s="200">
        <v>19.2</v>
      </c>
      <c r="L220" s="200">
        <v>5</v>
      </c>
      <c r="M220" s="200"/>
      <c r="N220" s="200"/>
      <c r="O220" s="200">
        <v>780</v>
      </c>
      <c r="P220" s="200"/>
      <c r="Q220" s="200">
        <f t="shared" si="41"/>
        <v>0.63091199461838021</v>
      </c>
      <c r="R220" s="200">
        <f t="shared" si="43"/>
        <v>0.57624322789929505</v>
      </c>
      <c r="S220" s="200">
        <f t="shared" si="42"/>
        <v>0.59586854429173786</v>
      </c>
      <c r="T220" s="200">
        <f>(Cruise!$Q220+Cruise!$R220)/2</f>
        <v>0.60357761125883758</v>
      </c>
      <c r="U220" s="196">
        <f t="shared" si="25"/>
        <v>12960</v>
      </c>
      <c r="V220" s="196">
        <f t="shared" si="26"/>
        <v>68.863628621973234</v>
      </c>
      <c r="W220" s="196">
        <f t="shared" si="27"/>
        <v>7.03125</v>
      </c>
      <c r="X220" s="196">
        <f t="shared" si="28"/>
        <v>3.84</v>
      </c>
      <c r="Y220" s="196">
        <f t="shared" si="30"/>
        <v>27</v>
      </c>
      <c r="Z220" s="200"/>
      <c r="AA220" s="200">
        <v>7280</v>
      </c>
      <c r="AB220" s="200">
        <v>19</v>
      </c>
      <c r="AC220" s="200">
        <f>(AB220*0.512)</f>
        <v>9.7279999999999998</v>
      </c>
      <c r="AD220" s="196">
        <f t="shared" si="29"/>
        <v>0.26731428891763087</v>
      </c>
      <c r="AE220" s="204">
        <f>Cruise!$AA220/(Cruise!$AC220^3)</f>
        <v>7.9078913464944556</v>
      </c>
      <c r="AF220" s="200"/>
      <c r="AG220" s="200"/>
      <c r="AH220" s="200"/>
      <c r="AI220" s="200"/>
      <c r="AJ220" s="200"/>
      <c r="AK220" s="200"/>
      <c r="AL220" s="200"/>
      <c r="AM220" s="200"/>
      <c r="AN220" s="200"/>
      <c r="AO220" s="200"/>
      <c r="AP220" s="200"/>
      <c r="AQ220" s="200" t="s">
        <v>91</v>
      </c>
      <c r="AR220" s="200"/>
      <c r="AS220" s="200"/>
      <c r="AT220" s="200"/>
      <c r="AU220" s="200"/>
      <c r="AV220" s="200"/>
      <c r="AW220" s="205">
        <f>Cruise!$I220/(Cruise!$S220*Cruise!$I220*Cruise!$K220*Cruise!$L220)^(1/3)</f>
        <v>6.8299147261024125</v>
      </c>
      <c r="AX220">
        <f>(Cruise!$S220*Cruise!$I220*Cruise!$K220*Cruise!$L220)*1.025/O220</f>
        <v>10.14809966970698</v>
      </c>
    </row>
    <row r="221" spans="1:50" x14ac:dyDescent="0.3">
      <c r="A221" s="194" t="s">
        <v>201</v>
      </c>
      <c r="B221" s="195">
        <v>2010</v>
      </c>
      <c r="C221" s="195"/>
      <c r="D221" s="195">
        <v>450</v>
      </c>
      <c r="E221" s="195"/>
      <c r="F221" s="195"/>
      <c r="G221" s="195"/>
      <c r="H221" s="195">
        <v>198</v>
      </c>
      <c r="I221" s="195">
        <f>IF(Cruise!$H221&gt;0,Cruise!$H221,Cruise!$F221)</f>
        <v>198</v>
      </c>
      <c r="J221" s="195">
        <v>15.2</v>
      </c>
      <c r="K221" s="195">
        <v>25.6</v>
      </c>
      <c r="L221" s="195">
        <v>6.4</v>
      </c>
      <c r="M221" s="195"/>
      <c r="N221" s="195"/>
      <c r="O221" s="195">
        <v>3000</v>
      </c>
      <c r="P221" s="195"/>
      <c r="Q221" s="195">
        <f t="shared" si="41"/>
        <v>0.65062690783749555</v>
      </c>
      <c r="R221" s="195">
        <f t="shared" si="43"/>
        <v>0.60919431633917587</v>
      </c>
      <c r="S221" s="195">
        <f t="shared" si="42"/>
        <v>0.6121367287995515</v>
      </c>
      <c r="T221" s="195">
        <f>(Cruise!$Q221+Cruise!$R221)/2</f>
        <v>0.62991061208833576</v>
      </c>
      <c r="U221" s="196">
        <f t="shared" si="25"/>
        <v>32440.320000000003</v>
      </c>
      <c r="V221" s="196">
        <f t="shared" si="26"/>
        <v>73.721691182177025</v>
      </c>
      <c r="W221" s="196">
        <f t="shared" si="27"/>
        <v>7.734375</v>
      </c>
      <c r="X221" s="196">
        <f t="shared" si="28"/>
        <v>4</v>
      </c>
      <c r="Y221" s="196">
        <f t="shared" si="30"/>
        <v>30.9375</v>
      </c>
      <c r="Z221" s="195">
        <f>Cruise!$I221/Cruise!$J221</f>
        <v>13.026315789473685</v>
      </c>
      <c r="AA221" s="195"/>
      <c r="AB221" s="195">
        <v>22</v>
      </c>
      <c r="AC221" s="195">
        <f>(AB221*0.512)</f>
        <v>11.263999999999999</v>
      </c>
      <c r="AD221" s="196">
        <f t="shared" si="29"/>
        <v>0.25557922152530033</v>
      </c>
      <c r="AE221" s="197"/>
      <c r="AF221" s="195"/>
      <c r="AG221" s="195"/>
      <c r="AH221" s="195"/>
      <c r="AI221" s="195"/>
      <c r="AJ221" s="195"/>
      <c r="AK221" s="195"/>
      <c r="AL221" s="195"/>
      <c r="AM221" s="195"/>
      <c r="AN221" s="195"/>
      <c r="AO221" s="195"/>
      <c r="AP221" s="195"/>
      <c r="AQ221" s="195"/>
      <c r="AR221" s="195"/>
      <c r="AS221" s="195"/>
      <c r="AT221" s="195"/>
      <c r="AU221" s="195"/>
      <c r="AV221" s="195"/>
      <c r="AW221" s="198">
        <f>Cruise!$I221/(Cruise!$S221*Cruise!$I221*Cruise!$K221*Cruise!$L221)^(1/3)</f>
        <v>7.3117387845238051</v>
      </c>
      <c r="AX221">
        <f>(Cruise!$S221*Cruise!$I221*Cruise!$K221*Cruise!$L221)*1.025/O221</f>
        <v>6.7847863833869777</v>
      </c>
    </row>
    <row r="222" spans="1:50" x14ac:dyDescent="0.3">
      <c r="A222" s="199" t="s">
        <v>202</v>
      </c>
      <c r="B222" s="200">
        <v>1989</v>
      </c>
      <c r="C222" s="200"/>
      <c r="D222" s="200">
        <v>212</v>
      </c>
      <c r="E222" s="200"/>
      <c r="F222" s="200"/>
      <c r="G222" s="200"/>
      <c r="H222" s="200">
        <v>134.1</v>
      </c>
      <c r="I222" s="200">
        <f>IF(Cruise!$H222&gt;0,Cruise!$H222,Cruise!$F222)</f>
        <v>134.1</v>
      </c>
      <c r="J222" s="200"/>
      <c r="K222" s="200">
        <v>19.2</v>
      </c>
      <c r="L222" s="200">
        <v>5.15</v>
      </c>
      <c r="M222" s="200"/>
      <c r="N222" s="200"/>
      <c r="O222" s="200">
        <v>800</v>
      </c>
      <c r="P222" s="200"/>
      <c r="Q222" s="200">
        <f t="shared" si="41"/>
        <v>0.62940750797410172</v>
      </c>
      <c r="R222" s="200">
        <f t="shared" si="43"/>
        <v>0.57396279099113912</v>
      </c>
      <c r="S222" s="200">
        <f t="shared" si="42"/>
        <v>0.59467401593083258</v>
      </c>
      <c r="T222" s="200">
        <f>(Cruise!$Q222+Cruise!$R222)/2</f>
        <v>0.60168514948262042</v>
      </c>
      <c r="U222" s="196">
        <f t="shared" si="25"/>
        <v>13259.807999999999</v>
      </c>
      <c r="V222" s="196">
        <f t="shared" si="26"/>
        <v>67.930477431545754</v>
      </c>
      <c r="W222" s="196">
        <f t="shared" si="27"/>
        <v>6.984375</v>
      </c>
      <c r="X222" s="196">
        <f t="shared" si="28"/>
        <v>3.7281553398058249</v>
      </c>
      <c r="Y222" s="196">
        <f t="shared" si="30"/>
        <v>26.038834951456309</v>
      </c>
      <c r="Z222" s="200"/>
      <c r="AA222" s="200">
        <v>5355</v>
      </c>
      <c r="AB222" s="200">
        <v>19</v>
      </c>
      <c r="AC222" s="200">
        <f>(AB222*0.512)</f>
        <v>9.7279999999999998</v>
      </c>
      <c r="AD222" s="196">
        <f t="shared" si="29"/>
        <v>0.26820981668208232</v>
      </c>
      <c r="AE222" s="204">
        <f>Cruise!$AA222/(Cruise!$AC222^3)</f>
        <v>5.8168623846810172</v>
      </c>
      <c r="AF222" s="200"/>
      <c r="AG222" s="200"/>
      <c r="AH222" s="200"/>
      <c r="AI222" s="200"/>
      <c r="AJ222" s="200"/>
      <c r="AK222" s="200"/>
      <c r="AL222" s="200"/>
      <c r="AM222" s="200"/>
      <c r="AN222" s="200"/>
      <c r="AO222" s="200"/>
      <c r="AP222" s="200"/>
      <c r="AQ222" s="200" t="s">
        <v>91</v>
      </c>
      <c r="AR222" s="200"/>
      <c r="AS222" s="200"/>
      <c r="AT222" s="200"/>
      <c r="AU222" s="200"/>
      <c r="AV222" s="200"/>
      <c r="AW222" s="205">
        <f>Cruise!$I222/(Cruise!$S222*Cruise!$I222*Cruise!$K222*Cruise!$L222)^(1/3)</f>
        <v>6.7373645194880183</v>
      </c>
      <c r="AX222">
        <f>(Cruise!$S222*Cruise!$I222*Cruise!$K222*Cruise!$L222)*1.025/O222</f>
        <v>10.102993569596968</v>
      </c>
    </row>
    <row r="223" spans="1:50" x14ac:dyDescent="0.3">
      <c r="A223" s="194" t="s">
        <v>203</v>
      </c>
      <c r="B223" s="195">
        <v>2002</v>
      </c>
      <c r="C223" s="195"/>
      <c r="D223" s="195">
        <v>108</v>
      </c>
      <c r="E223" s="195">
        <v>89</v>
      </c>
      <c r="F223" s="195"/>
      <c r="G223" s="195"/>
      <c r="H223" s="195">
        <v>104.81</v>
      </c>
      <c r="I223" s="195">
        <f>IF(Cruise!$H223&gt;0,Cruise!$H223,Cruise!$F223)</f>
        <v>104.81</v>
      </c>
      <c r="J223" s="195"/>
      <c r="K223" s="195">
        <v>14.6</v>
      </c>
      <c r="L223" s="195">
        <v>4.17</v>
      </c>
      <c r="M223" s="195"/>
      <c r="N223" s="195">
        <v>4253</v>
      </c>
      <c r="O223" s="195">
        <v>450</v>
      </c>
      <c r="P223" s="195"/>
      <c r="Q223" s="195">
        <f t="shared" si="41"/>
        <v>0.70444684553265713</v>
      </c>
      <c r="R223" s="195">
        <f t="shared" si="43"/>
        <v>0.65274389537060717</v>
      </c>
      <c r="S223" s="195">
        <f t="shared" si="42"/>
        <v>0.66335572968362289</v>
      </c>
      <c r="T223" s="195">
        <f>(Cruise!$Q223+Cruise!$R223)/2</f>
        <v>0.6785953704516321</v>
      </c>
      <c r="U223" s="196">
        <f t="shared" si="25"/>
        <v>6381.0424199999998</v>
      </c>
      <c r="V223" s="196">
        <f t="shared" si="26"/>
        <v>65.327790620601633</v>
      </c>
      <c r="W223" s="196">
        <f t="shared" si="27"/>
        <v>7.1787671232876713</v>
      </c>
      <c r="X223" s="196">
        <f t="shared" si="28"/>
        <v>3.5011990407673861</v>
      </c>
      <c r="Y223" s="196">
        <f t="shared" si="30"/>
        <v>25.134292565947245</v>
      </c>
      <c r="Z223" s="195"/>
      <c r="AA223" s="195">
        <v>3540</v>
      </c>
      <c r="AB223" s="195">
        <v>14</v>
      </c>
      <c r="AC223" s="195">
        <f>(AB223*0.512)</f>
        <v>7.1680000000000001</v>
      </c>
      <c r="AD223" s="196">
        <f t="shared" si="29"/>
        <v>0.22354354432579934</v>
      </c>
      <c r="AE223" s="197">
        <f>Cruise!$AA223/(Cruise!$AC223^3)</f>
        <v>9.6119006243113514</v>
      </c>
      <c r="AF223" s="195"/>
      <c r="AG223" s="195"/>
      <c r="AH223" s="195"/>
      <c r="AI223" s="195"/>
      <c r="AJ223" s="195"/>
      <c r="AK223" s="195"/>
      <c r="AL223" s="195"/>
      <c r="AM223" s="195"/>
      <c r="AN223" s="195"/>
      <c r="AO223" s="195"/>
      <c r="AP223" s="195"/>
      <c r="AQ223" s="195"/>
      <c r="AR223" s="195"/>
      <c r="AS223" s="195"/>
      <c r="AT223" s="195"/>
      <c r="AU223" s="195"/>
      <c r="AV223" s="195"/>
      <c r="AW223" s="198">
        <f>Cruise!$I223/(Cruise!$S223*Cruise!$I223*Cruise!$K223*Cruise!$L223)^(1/3)</f>
        <v>6.4792292841944814</v>
      </c>
      <c r="AX223">
        <f>(Cruise!$S223*Cruise!$I223*Cruise!$K223*Cruise!$L223)*1.025/O223</f>
        <v>9.641607948728403</v>
      </c>
    </row>
    <row r="224" spans="1:50" x14ac:dyDescent="0.3">
      <c r="A224" s="199" t="s">
        <v>204</v>
      </c>
      <c r="B224" s="200">
        <v>2016</v>
      </c>
      <c r="C224" s="200"/>
      <c r="D224" s="200">
        <v>750</v>
      </c>
      <c r="E224" s="200">
        <v>552</v>
      </c>
      <c r="F224" s="200">
        <v>224</v>
      </c>
      <c r="G224" s="200"/>
      <c r="H224" s="200"/>
      <c r="I224" s="200">
        <f>IF(Cruise!$H224&gt;0,Cruise!$H224,Cruise!$F224)</f>
        <v>224</v>
      </c>
      <c r="J224" s="200"/>
      <c r="K224" s="200">
        <v>31.1</v>
      </c>
      <c r="L224" s="200">
        <v>7.1</v>
      </c>
      <c r="M224" s="200"/>
      <c r="N224" s="200">
        <v>54000</v>
      </c>
      <c r="O224" s="200">
        <v>6161</v>
      </c>
      <c r="P224" s="200"/>
      <c r="Q224" s="200">
        <f t="shared" si="41"/>
        <v>0.675024069126132</v>
      </c>
      <c r="R224" s="200">
        <f t="shared" si="43"/>
        <v>0.62127590163932855</v>
      </c>
      <c r="S224" s="200">
        <f t="shared" si="42"/>
        <v>0.63400371953666546</v>
      </c>
      <c r="T224" s="200">
        <f>(Cruise!$Q224+Cruise!$R224)/2</f>
        <v>0.64814998538273028</v>
      </c>
      <c r="U224" s="196">
        <f t="shared" si="25"/>
        <v>49461.440000000002</v>
      </c>
      <c r="V224" s="196">
        <f t="shared" si="26"/>
        <v>71.620352278740882</v>
      </c>
      <c r="W224" s="196">
        <f t="shared" si="27"/>
        <v>7.202572347266881</v>
      </c>
      <c r="X224" s="196">
        <f t="shared" si="28"/>
        <v>4.3802816901408459</v>
      </c>
      <c r="Y224" s="196">
        <f t="shared" si="30"/>
        <v>31.549295774647888</v>
      </c>
      <c r="Z224" s="200"/>
      <c r="AA224" s="200"/>
      <c r="AB224" s="200"/>
      <c r="AC224" s="200">
        <v>11.3</v>
      </c>
      <c r="AD224" s="196">
        <f t="shared" si="29"/>
        <v>0.24105710171063577</v>
      </c>
      <c r="AE224" s="204">
        <f>Cruise!$AA224/(Cruise!$AC224^3)</f>
        <v>0</v>
      </c>
      <c r="AF224" s="200"/>
      <c r="AG224" s="200"/>
      <c r="AH224" s="200"/>
      <c r="AI224" s="200"/>
      <c r="AJ224" s="200"/>
      <c r="AK224" s="200"/>
      <c r="AL224" s="200"/>
      <c r="AM224" s="200"/>
      <c r="AN224" s="200"/>
      <c r="AO224" s="200"/>
      <c r="AP224" s="200"/>
      <c r="AQ224" s="200"/>
      <c r="AR224" s="200"/>
      <c r="AS224" s="200"/>
      <c r="AT224" s="200"/>
      <c r="AU224" s="200"/>
      <c r="AV224" s="200"/>
      <c r="AW224" s="205">
        <f>Cruise!$I224/(Cruise!$S224*Cruise!$I224*Cruise!$K224*Cruise!$L224)^(1/3)</f>
        <v>7.1033273805895814</v>
      </c>
      <c r="AX224">
        <f>(Cruise!$S224*Cruise!$I224*Cruise!$K224*Cruise!$L224)*1.025/O224</f>
        <v>5.217124713030449</v>
      </c>
    </row>
    <row r="225" spans="1:50" x14ac:dyDescent="0.3">
      <c r="A225" s="194" t="s">
        <v>205</v>
      </c>
      <c r="B225" s="195">
        <v>2001</v>
      </c>
      <c r="C225" s="195"/>
      <c r="D225" s="195">
        <v>504</v>
      </c>
      <c r="E225" s="195"/>
      <c r="F225" s="195"/>
      <c r="G225" s="195"/>
      <c r="H225" s="195">
        <v>170.6</v>
      </c>
      <c r="I225" s="195">
        <f>IF(Cruise!$H225&gt;0,Cruise!$H225,Cruise!$F225)</f>
        <v>170.6</v>
      </c>
      <c r="J225" s="195"/>
      <c r="K225" s="195">
        <v>21.8</v>
      </c>
      <c r="L225" s="195">
        <v>6.8</v>
      </c>
      <c r="M225" s="195"/>
      <c r="N225" s="195"/>
      <c r="O225" s="195">
        <v>2581</v>
      </c>
      <c r="P225" s="195"/>
      <c r="Q225" s="195">
        <f t="shared" si="41"/>
        <v>0.66999435425760412</v>
      </c>
      <c r="R225" s="195">
        <f t="shared" si="43"/>
        <v>0.63029911440957576</v>
      </c>
      <c r="S225" s="195">
        <f t="shared" si="42"/>
        <v>0.62932564706496219</v>
      </c>
      <c r="T225" s="195">
        <f>(Cruise!$Q225+Cruise!$R225)/2</f>
        <v>0.65014673433358994</v>
      </c>
      <c r="U225" s="196">
        <f t="shared" si="25"/>
        <v>25289.743999999999</v>
      </c>
      <c r="V225" s="196">
        <f t="shared" si="26"/>
        <v>68.382823273522604</v>
      </c>
      <c r="W225" s="196">
        <f t="shared" si="27"/>
        <v>7.8256880733944945</v>
      </c>
      <c r="X225" s="196">
        <f t="shared" si="28"/>
        <v>3.2058823529411766</v>
      </c>
      <c r="Y225" s="196">
        <f t="shared" si="30"/>
        <v>25.088235294117649</v>
      </c>
      <c r="Z225" s="195"/>
      <c r="AA225" s="195">
        <v>19200</v>
      </c>
      <c r="AB225" s="195">
        <v>19.5</v>
      </c>
      <c r="AC225" s="195">
        <f t="shared" ref="AC225:AC237" si="44">(AB225*0.512)</f>
        <v>9.984</v>
      </c>
      <c r="AD225" s="196">
        <f t="shared" si="29"/>
        <v>0.244050979608569</v>
      </c>
      <c r="AE225" s="197">
        <f>Cruise!$AA225/(Cruise!$AC225^3)</f>
        <v>19.292455700323675</v>
      </c>
      <c r="AF225" s="195"/>
      <c r="AG225" s="195"/>
      <c r="AH225" s="195"/>
      <c r="AI225" s="195"/>
      <c r="AJ225" s="195"/>
      <c r="AK225" s="195"/>
      <c r="AL225" s="195"/>
      <c r="AM225" s="195"/>
      <c r="AN225" s="195"/>
      <c r="AO225" s="195"/>
      <c r="AP225" s="195"/>
      <c r="AQ225" s="195" t="s">
        <v>89</v>
      </c>
      <c r="AR225" s="195"/>
      <c r="AS225" s="195"/>
      <c r="AT225" s="195"/>
      <c r="AU225" s="195"/>
      <c r="AV225" s="195"/>
      <c r="AW225" s="198">
        <f>Cruise!$I225/(Cruise!$S225*Cruise!$I225*Cruise!$K225*Cruise!$L225)^(1/3)</f>
        <v>6.7822283117283133</v>
      </c>
      <c r="AX225">
        <f>(Cruise!$S225*Cruise!$I225*Cruise!$K225*Cruise!$L225)*1.025/O225</f>
        <v>6.3205624252537485</v>
      </c>
    </row>
    <row r="226" spans="1:50" x14ac:dyDescent="0.3">
      <c r="A226" s="199" t="s">
        <v>206</v>
      </c>
      <c r="B226" s="200">
        <v>2003</v>
      </c>
      <c r="C226" s="200"/>
      <c r="D226" s="200">
        <v>745</v>
      </c>
      <c r="E226" s="200"/>
      <c r="F226" s="200"/>
      <c r="G226" s="200"/>
      <c r="H226" s="200">
        <v>204.1</v>
      </c>
      <c r="I226" s="200">
        <f>IF(Cruise!$H226&gt;0,Cruise!$H226,Cruise!$F226)</f>
        <v>204.1</v>
      </c>
      <c r="J226" s="200"/>
      <c r="K226" s="200">
        <v>28.8</v>
      </c>
      <c r="L226" s="200">
        <v>7.1</v>
      </c>
      <c r="M226" s="200"/>
      <c r="N226" s="200"/>
      <c r="O226" s="200">
        <v>5400</v>
      </c>
      <c r="P226" s="200"/>
      <c r="Q226" s="200">
        <f t="shared" si="41"/>
        <v>0.69553816689518777</v>
      </c>
      <c r="R226" s="200">
        <f t="shared" si="43"/>
        <v>0.6404466787205515</v>
      </c>
      <c r="S226" s="200">
        <f t="shared" si="42"/>
        <v>0.65408982573828933</v>
      </c>
      <c r="T226" s="200">
        <f>(Cruise!$Q226+Cruise!$R226)/2</f>
        <v>0.66799242280786963</v>
      </c>
      <c r="U226" s="196">
        <f t="shared" si="25"/>
        <v>41734.367999999995</v>
      </c>
      <c r="V226" s="196">
        <f t="shared" si="26"/>
        <v>68.345073492186799</v>
      </c>
      <c r="W226" s="196">
        <f t="shared" si="27"/>
        <v>7.0868055555555554</v>
      </c>
      <c r="X226" s="196">
        <f t="shared" si="28"/>
        <v>4.056338028169014</v>
      </c>
      <c r="Y226" s="196">
        <f t="shared" si="30"/>
        <v>28.746478873239436</v>
      </c>
      <c r="Z226" s="200"/>
      <c r="AA226" s="200">
        <v>8700</v>
      </c>
      <c r="AB226" s="200">
        <v>20</v>
      </c>
      <c r="AC226" s="200">
        <f t="shared" si="44"/>
        <v>10.24</v>
      </c>
      <c r="AD226" s="196">
        <f t="shared" si="29"/>
        <v>0.22884632922905496</v>
      </c>
      <c r="AE226" s="204">
        <f>Cruise!$AA226/(Cruise!$AC226^3)</f>
        <v>8.1025063991546613</v>
      </c>
      <c r="AF226" s="200"/>
      <c r="AG226" s="200"/>
      <c r="AH226" s="200"/>
      <c r="AI226" s="200"/>
      <c r="AJ226" s="200"/>
      <c r="AK226" s="200"/>
      <c r="AL226" s="200"/>
      <c r="AM226" s="200"/>
      <c r="AN226" s="200"/>
      <c r="AO226" s="200"/>
      <c r="AP226" s="200"/>
      <c r="AQ226" s="200" t="s">
        <v>89</v>
      </c>
      <c r="AR226" s="200"/>
      <c r="AS226" s="200"/>
      <c r="AT226" s="200"/>
      <c r="AU226" s="200"/>
      <c r="AV226" s="200"/>
      <c r="AW226" s="205">
        <f>Cruise!$I226/(Cruise!$S226*Cruise!$I226*Cruise!$K226*Cruise!$L226)^(1/3)</f>
        <v>6.7784842774302057</v>
      </c>
      <c r="AX226">
        <f>(Cruise!$S226*Cruise!$I226*Cruise!$K226*Cruise!$L226)*1.025/O226</f>
        <v>5.1815696536533471</v>
      </c>
    </row>
    <row r="227" spans="1:50" x14ac:dyDescent="0.3">
      <c r="A227" s="194" t="s">
        <v>207</v>
      </c>
      <c r="B227" s="195">
        <v>2000</v>
      </c>
      <c r="C227" s="195"/>
      <c r="D227" s="195">
        <f>2*382</f>
        <v>764</v>
      </c>
      <c r="E227" s="195">
        <v>302</v>
      </c>
      <c r="F227" s="197">
        <f>D227*0.3048</f>
        <v>232.86720000000003</v>
      </c>
      <c r="G227" s="195"/>
      <c r="H227" s="195"/>
      <c r="I227" s="195">
        <f>IF(Cruise!$H227&gt;0,Cruise!$H227,Cruise!$F227)</f>
        <v>232.86720000000003</v>
      </c>
      <c r="J227" s="197"/>
      <c r="K227" s="197">
        <v>24.8</v>
      </c>
      <c r="L227" s="197">
        <v>6</v>
      </c>
      <c r="M227" s="195">
        <v>9144</v>
      </c>
      <c r="N227" s="195">
        <v>28258</v>
      </c>
      <c r="O227" s="195">
        <v>2977</v>
      </c>
      <c r="P227" s="195"/>
      <c r="Q227" s="195">
        <f t="shared" si="41"/>
        <v>0.70207130041501498</v>
      </c>
      <c r="R227" s="195">
        <f t="shared" si="43"/>
        <v>0.70288480225829941</v>
      </c>
      <c r="S227" s="195">
        <f t="shared" si="42"/>
        <v>0.66085078363528893</v>
      </c>
      <c r="T227" s="195">
        <f>(Cruise!$Q227+Cruise!$R227)/2</f>
        <v>0.70247805133665719</v>
      </c>
      <c r="U227" s="196">
        <f t="shared" si="25"/>
        <v>34650.639360000008</v>
      </c>
      <c r="V227" s="196">
        <f t="shared" si="26"/>
        <v>82.682079172015023</v>
      </c>
      <c r="W227" s="196">
        <f t="shared" si="27"/>
        <v>9.3898064516129036</v>
      </c>
      <c r="X227" s="196">
        <f t="shared" si="28"/>
        <v>4.1333333333333337</v>
      </c>
      <c r="Y227" s="196">
        <f t="shared" si="30"/>
        <v>38.811200000000007</v>
      </c>
      <c r="Z227" s="195"/>
      <c r="AA227" s="195"/>
      <c r="AB227" s="195">
        <v>21</v>
      </c>
      <c r="AC227" s="195">
        <f t="shared" si="44"/>
        <v>10.752000000000001</v>
      </c>
      <c r="AD227" s="196">
        <f t="shared" si="29"/>
        <v>0.22495755927677683</v>
      </c>
      <c r="AE227" s="197"/>
      <c r="AF227" s="195">
        <v>150</v>
      </c>
      <c r="AG227" s="195"/>
      <c r="AH227" s="195"/>
      <c r="AI227" s="195"/>
      <c r="AJ227" s="195"/>
      <c r="AK227" s="195"/>
      <c r="AL227" s="195"/>
      <c r="AM227" s="195"/>
      <c r="AN227" s="197"/>
      <c r="AO227" s="197"/>
      <c r="AP227" s="195"/>
      <c r="AQ227" s="195"/>
      <c r="AR227" s="195"/>
      <c r="AS227" s="195"/>
      <c r="AT227" s="195"/>
      <c r="AU227" s="195"/>
      <c r="AV227" s="195"/>
      <c r="AW227" s="198">
        <f>Cruise!$I227/(Cruise!$S227*Cruise!$I227*Cruise!$K227*Cruise!$L227)^(1/3)</f>
        <v>8.2004326728365431</v>
      </c>
      <c r="AX227">
        <f>(Cruise!$S227*Cruise!$I227*Cruise!$K227*Cruise!$L227)*1.025/O227</f>
        <v>7.8842373963328125</v>
      </c>
    </row>
    <row r="228" spans="1:50" x14ac:dyDescent="0.3">
      <c r="A228" s="199" t="s">
        <v>208</v>
      </c>
      <c r="B228" s="200">
        <v>1993</v>
      </c>
      <c r="C228" s="200"/>
      <c r="D228" s="200">
        <v>3013</v>
      </c>
      <c r="E228" s="200"/>
      <c r="F228" s="200"/>
      <c r="G228" s="200"/>
      <c r="H228" s="200">
        <v>202</v>
      </c>
      <c r="I228" s="200">
        <f>IF(Cruise!$H228&gt;0,Cruise!$H228,Cruise!$F228)</f>
        <v>202</v>
      </c>
      <c r="J228" s="200"/>
      <c r="K228" s="200">
        <v>32</v>
      </c>
      <c r="L228" s="200">
        <v>6.8</v>
      </c>
      <c r="M228" s="200"/>
      <c r="N228" s="200"/>
      <c r="O228" s="200">
        <v>4650</v>
      </c>
      <c r="P228" s="200"/>
      <c r="Q228" s="200">
        <f t="shared" si="41"/>
        <v>0.6645607608514944</v>
      </c>
      <c r="R228" s="200">
        <f t="shared" si="43"/>
        <v>0.59081445580385361</v>
      </c>
      <c r="S228" s="200">
        <f t="shared" si="42"/>
        <v>0.62437402108972517</v>
      </c>
      <c r="T228" s="200">
        <f>(Cruise!$Q228+Cruise!$R228)/2</f>
        <v>0.62768760832767401</v>
      </c>
      <c r="U228" s="196">
        <f t="shared" si="25"/>
        <v>43955.199999999997</v>
      </c>
      <c r="V228" s="196">
        <f t="shared" si="26"/>
        <v>67.52132605934149</v>
      </c>
      <c r="W228" s="196">
        <f t="shared" si="27"/>
        <v>6.3125</v>
      </c>
      <c r="X228" s="196">
        <f t="shared" si="28"/>
        <v>4.7058823529411766</v>
      </c>
      <c r="Y228" s="196">
        <f t="shared" si="30"/>
        <v>29.705882352941178</v>
      </c>
      <c r="Z228" s="200"/>
      <c r="AA228" s="200">
        <v>32240</v>
      </c>
      <c r="AB228" s="200">
        <v>21.5</v>
      </c>
      <c r="AC228" s="200">
        <f t="shared" si="44"/>
        <v>11.008000000000001</v>
      </c>
      <c r="AD228" s="196">
        <f t="shared" si="29"/>
        <v>0.24728526139792004</v>
      </c>
      <c r="AE228" s="204">
        <f>Cruise!$AA228/(Cruise!$AC228^3)</f>
        <v>24.16961710992231</v>
      </c>
      <c r="AF228" s="200"/>
      <c r="AG228" s="200"/>
      <c r="AH228" s="200"/>
      <c r="AI228" s="200"/>
      <c r="AJ228" s="200" t="s">
        <v>107</v>
      </c>
      <c r="AK228" s="200"/>
      <c r="AL228" s="200"/>
      <c r="AM228" s="200"/>
      <c r="AN228" s="200"/>
      <c r="AO228" s="200"/>
      <c r="AP228" s="200"/>
      <c r="AQ228" s="200" t="s">
        <v>89</v>
      </c>
      <c r="AR228" s="200"/>
      <c r="AS228" s="200"/>
      <c r="AT228" s="200"/>
      <c r="AU228" s="200"/>
      <c r="AV228" s="200"/>
      <c r="AW228" s="205">
        <f>Cruise!$I228/(Cruise!$S228*Cruise!$I228*Cruise!$K228*Cruise!$L228)^(1/3)</f>
        <v>6.6967847673294001</v>
      </c>
      <c r="AX228">
        <f>(Cruise!$S228*Cruise!$I228*Cruise!$K228*Cruise!$L228)*1.025/O228</f>
        <v>6.049590773354443</v>
      </c>
    </row>
    <row r="229" spans="1:50" x14ac:dyDescent="0.3">
      <c r="A229" s="194" t="s">
        <v>209</v>
      </c>
      <c r="B229" s="195">
        <v>1991</v>
      </c>
      <c r="C229" s="195"/>
      <c r="D229" s="195">
        <v>2852</v>
      </c>
      <c r="E229" s="195"/>
      <c r="F229" s="195"/>
      <c r="G229" s="195"/>
      <c r="H229" s="195">
        <v>203.03</v>
      </c>
      <c r="I229" s="195">
        <f>IF(Cruise!$H229&gt;0,Cruise!$H229,Cruise!$F229)</f>
        <v>203.03</v>
      </c>
      <c r="J229" s="195"/>
      <c r="K229" s="195">
        <v>31.5</v>
      </c>
      <c r="L229" s="195">
        <v>7.1</v>
      </c>
      <c r="M229" s="195"/>
      <c r="N229" s="195"/>
      <c r="O229" s="195">
        <v>5340</v>
      </c>
      <c r="P229" s="195"/>
      <c r="Q229" s="195">
        <f t="shared" si="41"/>
        <v>0.67525273158998833</v>
      </c>
      <c r="R229" s="195">
        <f t="shared" si="43"/>
        <v>0.60421033060219642</v>
      </c>
      <c r="S229" s="195">
        <f t="shared" si="42"/>
        <v>0.63421860396610974</v>
      </c>
      <c r="T229" s="195">
        <f>(Cruise!$Q229+Cruise!$R229)/2</f>
        <v>0.63973153109609238</v>
      </c>
      <c r="U229" s="196">
        <f t="shared" si="25"/>
        <v>45407.659499999994</v>
      </c>
      <c r="V229" s="196">
        <f t="shared" si="26"/>
        <v>66.784980719653191</v>
      </c>
      <c r="W229" s="196">
        <f t="shared" si="27"/>
        <v>6.4453968253968252</v>
      </c>
      <c r="X229" s="196">
        <f t="shared" si="28"/>
        <v>4.436619718309859</v>
      </c>
      <c r="Y229" s="196">
        <f t="shared" si="30"/>
        <v>28.595774647887325</v>
      </c>
      <c r="Z229" s="195"/>
      <c r="AA229" s="195">
        <v>32580</v>
      </c>
      <c r="AB229" s="195">
        <v>21</v>
      </c>
      <c r="AC229" s="195">
        <f t="shared" si="44"/>
        <v>10.752000000000001</v>
      </c>
      <c r="AD229" s="196">
        <f t="shared" si="29"/>
        <v>0.24092099310119752</v>
      </c>
      <c r="AE229" s="197">
        <f>Cruise!$AA229/(Cruise!$AC229^3)</f>
        <v>26.210983246709674</v>
      </c>
      <c r="AF229" s="195"/>
      <c r="AG229" s="195"/>
      <c r="AH229" s="195"/>
      <c r="AI229" s="195"/>
      <c r="AJ229" s="195" t="s">
        <v>107</v>
      </c>
      <c r="AK229" s="195"/>
      <c r="AL229" s="195"/>
      <c r="AM229" s="195"/>
      <c r="AN229" s="195"/>
      <c r="AO229" s="195"/>
      <c r="AP229" s="195"/>
      <c r="AQ229" s="195" t="s">
        <v>89</v>
      </c>
      <c r="AR229" s="195"/>
      <c r="AS229" s="195"/>
      <c r="AT229" s="195"/>
      <c r="AU229" s="195"/>
      <c r="AV229" s="195"/>
      <c r="AW229" s="198">
        <f>Cruise!$I229/(Cruise!$S229*Cruise!$I229*Cruise!$K229*Cruise!$L229)^(1/3)</f>
        <v>6.6237538222619845</v>
      </c>
      <c r="AX229">
        <f>(Cruise!$S229*Cruise!$I229*Cruise!$K229*Cruise!$L229)*1.025/O229</f>
        <v>5.5277793966095352</v>
      </c>
    </row>
    <row r="230" spans="1:50" x14ac:dyDescent="0.3">
      <c r="A230" s="199" t="s">
        <v>210</v>
      </c>
      <c r="B230" s="200">
        <v>1989</v>
      </c>
      <c r="C230" s="200"/>
      <c r="D230" s="200">
        <v>132</v>
      </c>
      <c r="E230" s="200">
        <v>117</v>
      </c>
      <c r="F230" s="200"/>
      <c r="G230" s="200">
        <v>96.99</v>
      </c>
      <c r="H230" s="200">
        <v>108</v>
      </c>
      <c r="I230" s="200">
        <f>IF(Cruise!$H230&gt;0,Cruise!$H230,Cruise!$F230)</f>
        <v>108</v>
      </c>
      <c r="J230" s="200"/>
      <c r="K230" s="200">
        <v>15.6</v>
      </c>
      <c r="L230" s="200">
        <v>4.38</v>
      </c>
      <c r="M230" s="200">
        <v>1905</v>
      </c>
      <c r="N230" s="200">
        <v>6130</v>
      </c>
      <c r="O230" s="200">
        <v>635</v>
      </c>
      <c r="P230" s="200"/>
      <c r="Q230" s="200">
        <f t="shared" si="41"/>
        <v>0.71003478129517617</v>
      </c>
      <c r="R230" s="200">
        <f t="shared" si="43"/>
        <v>0.65309762324308918</v>
      </c>
      <c r="S230" s="200">
        <f t="shared" si="42"/>
        <v>0.66934927146201029</v>
      </c>
      <c r="T230" s="200">
        <f>(Cruise!$Q230+Cruise!$R230)/2</f>
        <v>0.68156620226913267</v>
      </c>
      <c r="U230" s="196">
        <f t="shared" si="25"/>
        <v>7379.424</v>
      </c>
      <c r="V230" s="196">
        <f t="shared" si="26"/>
        <v>63.940097006834449</v>
      </c>
      <c r="W230" s="196">
        <f t="shared" si="27"/>
        <v>6.9230769230769234</v>
      </c>
      <c r="X230" s="196">
        <f t="shared" si="28"/>
        <v>3.5616438356164384</v>
      </c>
      <c r="Y230" s="196">
        <f t="shared" si="30"/>
        <v>24.657534246575342</v>
      </c>
      <c r="Z230" s="200"/>
      <c r="AA230" s="200">
        <v>4500</v>
      </c>
      <c r="AB230" s="200">
        <v>14</v>
      </c>
      <c r="AC230" s="200">
        <f t="shared" si="44"/>
        <v>7.1680000000000001</v>
      </c>
      <c r="AD230" s="196">
        <f t="shared" si="29"/>
        <v>0.22021739208620469</v>
      </c>
      <c r="AE230" s="204">
        <f>Cruise!$AA230/(Cruise!$AC230^3)</f>
        <v>12.218517742768666</v>
      </c>
      <c r="AF230" s="200"/>
      <c r="AG230" s="200"/>
      <c r="AH230" s="200"/>
      <c r="AI230" s="200"/>
      <c r="AJ230" s="200"/>
      <c r="AK230" s="200"/>
      <c r="AL230" s="200"/>
      <c r="AM230" s="200"/>
      <c r="AN230" s="200"/>
      <c r="AO230" s="200"/>
      <c r="AP230" s="200"/>
      <c r="AQ230" s="200"/>
      <c r="AR230" s="200"/>
      <c r="AS230" s="200"/>
      <c r="AT230" s="200"/>
      <c r="AU230" s="200"/>
      <c r="AV230" s="200"/>
      <c r="AW230" s="205">
        <f>Cruise!$I230/(Cruise!$S230*Cruise!$I230*Cruise!$K230*Cruise!$L230)^(1/3)</f>
        <v>6.341597427761017</v>
      </c>
      <c r="AX230">
        <f>(Cruise!$S230*Cruise!$I230*Cruise!$K230*Cruise!$L230)*1.025/O230</f>
        <v>7.9730667404165425</v>
      </c>
    </row>
    <row r="231" spans="1:50" x14ac:dyDescent="0.3">
      <c r="A231" s="194" t="s">
        <v>211</v>
      </c>
      <c r="B231" s="195">
        <v>2009</v>
      </c>
      <c r="C231" s="195"/>
      <c r="D231" s="195">
        <f>2*540</f>
        <v>1080</v>
      </c>
      <c r="E231" s="195">
        <v>376</v>
      </c>
      <c r="F231" s="197">
        <f>D231*0.3048</f>
        <v>329.18400000000003</v>
      </c>
      <c r="G231" s="195"/>
      <c r="H231" s="195"/>
      <c r="I231" s="195">
        <v>196</v>
      </c>
      <c r="J231" s="197"/>
      <c r="K231" s="197"/>
      <c r="L231" s="197"/>
      <c r="M231" s="195"/>
      <c r="N231" s="195">
        <v>36009</v>
      </c>
      <c r="O231" s="195">
        <v>4000</v>
      </c>
      <c r="P231" s="195"/>
      <c r="Q231" s="195">
        <f t="shared" si="41"/>
        <v>0.68178946887701763</v>
      </c>
      <c r="R231" s="195"/>
      <c r="S231" s="195">
        <f t="shared" si="42"/>
        <v>0.64044477734399907</v>
      </c>
      <c r="T231" s="195"/>
      <c r="U231" s="196"/>
      <c r="V231" s="196"/>
      <c r="W231" s="196"/>
      <c r="X231" s="196"/>
      <c r="Y231" s="196"/>
      <c r="Z231" s="195"/>
      <c r="AA231" s="195"/>
      <c r="AB231" s="195">
        <v>20.3</v>
      </c>
      <c r="AC231" s="195">
        <f t="shared" si="44"/>
        <v>10.393600000000001</v>
      </c>
      <c r="AD231" s="196">
        <f t="shared" si="29"/>
        <v>0.2370300780493943</v>
      </c>
      <c r="AE231" s="197"/>
      <c r="AF231" s="195"/>
      <c r="AG231" s="195"/>
      <c r="AH231" s="195"/>
      <c r="AI231" s="195"/>
      <c r="AJ231" s="195"/>
      <c r="AK231" s="195"/>
      <c r="AL231" s="195"/>
      <c r="AM231" s="195"/>
      <c r="AN231" s="197"/>
      <c r="AO231" s="197"/>
      <c r="AP231" s="195"/>
      <c r="AQ231" s="195"/>
      <c r="AR231" s="195"/>
      <c r="AS231" s="195"/>
      <c r="AT231" s="195"/>
      <c r="AU231" s="195"/>
      <c r="AV231" s="195"/>
      <c r="AW231" s="198"/>
    </row>
    <row r="232" spans="1:50" x14ac:dyDescent="0.3">
      <c r="A232" s="199" t="s">
        <v>212</v>
      </c>
      <c r="B232" s="200">
        <v>2010</v>
      </c>
      <c r="C232" s="200"/>
      <c r="D232" s="200">
        <f>2*450</f>
        <v>900</v>
      </c>
      <c r="E232" s="200">
        <v>330</v>
      </c>
      <c r="F232" s="200">
        <v>198</v>
      </c>
      <c r="G232" s="200">
        <v>169.2</v>
      </c>
      <c r="H232" s="200"/>
      <c r="I232" s="200">
        <f>IF(Cruise!$H232&gt;0,Cruise!$H232,Cruise!$F232)</f>
        <v>198</v>
      </c>
      <c r="J232" s="220"/>
      <c r="K232" s="200">
        <v>25.6</v>
      </c>
      <c r="L232" s="217">
        <v>6.4</v>
      </c>
      <c r="M232" s="200">
        <v>10479</v>
      </c>
      <c r="N232" s="200">
        <v>32346</v>
      </c>
      <c r="O232" s="200">
        <v>3000</v>
      </c>
      <c r="P232" s="200"/>
      <c r="Q232" s="200">
        <f t="shared" si="41"/>
        <v>0.70917778404147347</v>
      </c>
      <c r="R232" s="200">
        <f t="shared" ref="R232:R243" si="45">(0.23/AD232^(2/3))*((I232/K232)+20)/26</f>
        <v>0.67174106123718613</v>
      </c>
      <c r="S232" s="200">
        <f t="shared" si="42"/>
        <v>0.66842069293117201</v>
      </c>
      <c r="T232" s="200">
        <f>(Cruise!$Q232+Cruise!$R232)/2</f>
        <v>0.6904594226393298</v>
      </c>
      <c r="U232" s="196">
        <f t="shared" ref="U232:U245" si="46">I232*K232*L232</f>
        <v>32440.320000000003</v>
      </c>
      <c r="V232" s="196">
        <f t="shared" ref="V232:V245" si="47">I232/((S232*I232*K232*L232/1025)^(1/3))</f>
        <v>71.591501895745807</v>
      </c>
      <c r="W232" s="196">
        <f t="shared" ref="W232:W245" si="48">I232/K232</f>
        <v>7.734375</v>
      </c>
      <c r="X232" s="196">
        <f t="shared" ref="X232:X245" si="49">K232/L232</f>
        <v>4</v>
      </c>
      <c r="Y232" s="196">
        <f t="shared" si="30"/>
        <v>30.9375</v>
      </c>
      <c r="Z232" s="200"/>
      <c r="AA232" s="200"/>
      <c r="AB232" s="200">
        <v>19</v>
      </c>
      <c r="AC232" s="200">
        <f t="shared" si="44"/>
        <v>9.7279999999999998</v>
      </c>
      <c r="AD232" s="196">
        <f t="shared" ref="AD232:AD244" si="50">AC232/SQRT(I232*9.81)</f>
        <v>0.22072750949912298</v>
      </c>
      <c r="AE232" s="204"/>
      <c r="AF232" s="200"/>
      <c r="AG232" s="200"/>
      <c r="AH232" s="200"/>
      <c r="AI232" s="200"/>
      <c r="AJ232" s="200"/>
      <c r="AK232" s="200"/>
      <c r="AL232" s="200"/>
      <c r="AM232" s="200"/>
      <c r="AN232" s="204"/>
      <c r="AO232" s="204"/>
      <c r="AP232" s="200"/>
      <c r="AQ232" s="200"/>
      <c r="AR232" s="200"/>
      <c r="AS232" s="200"/>
      <c r="AT232" s="200"/>
      <c r="AU232" s="200"/>
      <c r="AV232" s="200"/>
      <c r="AW232" s="205">
        <f>Cruise!$I232/(Cruise!$S232*Cruise!$I232*Cruise!$K232*Cruise!$L232)^(1/3)</f>
        <v>7.1004659912086439</v>
      </c>
      <c r="AX232">
        <f>(Cruise!$S232*Cruise!$I232*Cruise!$K232*Cruise!$L232)*1.025/O232</f>
        <v>7.4086252342138943</v>
      </c>
    </row>
    <row r="233" spans="1:50" x14ac:dyDescent="0.3">
      <c r="A233" s="194" t="s">
        <v>213</v>
      </c>
      <c r="B233" s="195">
        <v>2009</v>
      </c>
      <c r="C233" s="195"/>
      <c r="D233" s="195">
        <f>2*540</f>
        <v>1080</v>
      </c>
      <c r="E233" s="195">
        <v>376</v>
      </c>
      <c r="F233" s="197">
        <f>D233*0.3048</f>
        <v>329.18400000000003</v>
      </c>
      <c r="G233" s="195"/>
      <c r="H233" s="195"/>
      <c r="I233" s="195">
        <f>IF(Cruise!$H233&gt;0,Cruise!$H233,Cruise!$F233)</f>
        <v>329.18400000000003</v>
      </c>
      <c r="J233" s="197"/>
      <c r="K233" s="223"/>
      <c r="L233" s="197"/>
      <c r="M233" s="195"/>
      <c r="N233" s="195">
        <v>36009</v>
      </c>
      <c r="O233" s="195">
        <v>4000</v>
      </c>
      <c r="P233" s="195"/>
      <c r="Q233" s="196">
        <f t="shared" si="41"/>
        <v>0.77272911034764813</v>
      </c>
      <c r="R233" s="196" t="e">
        <f t="shared" si="45"/>
        <v>#DIV/0!</v>
      </c>
      <c r="S233" s="196">
        <f t="shared" si="42"/>
        <v>0.74823235240283326</v>
      </c>
      <c r="T233" s="196"/>
      <c r="U233" s="196"/>
      <c r="V233" s="196"/>
      <c r="W233" s="196"/>
      <c r="X233" s="196"/>
      <c r="Y233" s="196"/>
      <c r="Z233" s="196"/>
      <c r="AA233" s="195"/>
      <c r="AB233" s="195">
        <v>20.3</v>
      </c>
      <c r="AC233" s="196">
        <f t="shared" si="44"/>
        <v>10.393600000000001</v>
      </c>
      <c r="AD233" s="196">
        <f t="shared" si="50"/>
        <v>0.18289933907878095</v>
      </c>
      <c r="AE233" s="197">
        <f>Cruise!$AA233/(Cruise!$AC233^3)</f>
        <v>0</v>
      </c>
      <c r="AF233" s="195"/>
      <c r="AG233" s="195"/>
      <c r="AH233" s="195"/>
      <c r="AI233" s="195"/>
      <c r="AJ233" s="195"/>
      <c r="AK233" s="195"/>
      <c r="AL233" s="195"/>
      <c r="AM233" s="195"/>
      <c r="AN233" s="197"/>
      <c r="AO233" s="197"/>
      <c r="AP233" s="195"/>
      <c r="AQ233" s="195"/>
      <c r="AR233" s="195"/>
      <c r="AS233" s="195"/>
      <c r="AT233" s="195"/>
      <c r="AU233" s="195"/>
      <c r="AV233" s="195"/>
      <c r="AW233" s="198"/>
    </row>
    <row r="234" spans="1:50" x14ac:dyDescent="0.3">
      <c r="A234" s="199" t="s">
        <v>214</v>
      </c>
      <c r="B234" s="200">
        <v>2001</v>
      </c>
      <c r="C234" s="200"/>
      <c r="D234" s="200">
        <v>114</v>
      </c>
      <c r="E234" s="200">
        <v>55</v>
      </c>
      <c r="F234" s="200"/>
      <c r="G234" s="200">
        <v>78.819999999999993</v>
      </c>
      <c r="H234" s="200">
        <v>90</v>
      </c>
      <c r="I234" s="200">
        <f>IF(Cruise!$H234&gt;0,Cruise!$H234,Cruise!$F234)</f>
        <v>90</v>
      </c>
      <c r="J234" s="200"/>
      <c r="K234" s="199">
        <v>15</v>
      </c>
      <c r="L234" s="200">
        <v>4</v>
      </c>
      <c r="M234" s="200"/>
      <c r="N234" s="200">
        <v>4200</v>
      </c>
      <c r="O234" s="200">
        <v>684</v>
      </c>
      <c r="P234" s="200"/>
      <c r="Q234" s="200">
        <f t="shared" si="41"/>
        <v>0.66024924446200273</v>
      </c>
      <c r="R234" s="200">
        <f t="shared" si="45"/>
        <v>0.57979308694021736</v>
      </c>
      <c r="S234" s="200">
        <f t="shared" si="42"/>
        <v>0.62051808177966339</v>
      </c>
      <c r="T234" s="200">
        <f>(Cruise!$Q234+Cruise!$R234)/2</f>
        <v>0.6200211657011101</v>
      </c>
      <c r="U234" s="196">
        <f t="shared" si="46"/>
        <v>5400</v>
      </c>
      <c r="V234" s="196">
        <f t="shared" si="47"/>
        <v>60.64119219635144</v>
      </c>
      <c r="W234" s="196">
        <f t="shared" si="48"/>
        <v>6</v>
      </c>
      <c r="X234" s="196">
        <f t="shared" si="49"/>
        <v>3.75</v>
      </c>
      <c r="Y234" s="196">
        <f t="shared" ref="Y234:Y245" si="51">I234/L234</f>
        <v>22.5</v>
      </c>
      <c r="Z234" s="200"/>
      <c r="AA234" s="200">
        <v>5000</v>
      </c>
      <c r="AB234" s="200">
        <v>14.5</v>
      </c>
      <c r="AC234" s="200">
        <f t="shared" si="44"/>
        <v>7.4240000000000004</v>
      </c>
      <c r="AD234" s="196">
        <f t="shared" si="50"/>
        <v>0.24985164020118894</v>
      </c>
      <c r="AE234" s="204">
        <f>Cruise!$AA234/(Cruise!$AC234^3)</f>
        <v>12.21957537729932</v>
      </c>
      <c r="AF234" s="200"/>
      <c r="AG234" s="200"/>
      <c r="AH234" s="200"/>
      <c r="AI234" s="200"/>
      <c r="AJ234" s="200"/>
      <c r="AK234" s="200"/>
      <c r="AL234" s="200"/>
      <c r="AM234" s="200"/>
      <c r="AN234" s="200"/>
      <c r="AO234" s="200"/>
      <c r="AP234" s="200"/>
      <c r="AQ234" s="200"/>
      <c r="AR234" s="200"/>
      <c r="AS234" s="200"/>
      <c r="AT234" s="200"/>
      <c r="AU234" s="200"/>
      <c r="AV234" s="200"/>
      <c r="AW234" s="205">
        <f>Cruise!$I234/(Cruise!$S234*Cruise!$I234*Cruise!$K234*Cruise!$L234)^(1/3)</f>
        <v>6.014411088673179</v>
      </c>
      <c r="AX234">
        <f>(Cruise!$S234*Cruise!$I234*Cruise!$K234*Cruise!$L234)*1.025/O234</f>
        <v>5.0212976354538545</v>
      </c>
    </row>
    <row r="235" spans="1:50" x14ac:dyDescent="0.3">
      <c r="A235" s="194" t="s">
        <v>215</v>
      </c>
      <c r="B235" s="195">
        <v>1996</v>
      </c>
      <c r="C235" s="195"/>
      <c r="D235" s="195">
        <v>2076</v>
      </c>
      <c r="E235" s="195"/>
      <c r="F235" s="195"/>
      <c r="G235" s="195"/>
      <c r="H235" s="195">
        <v>264.2</v>
      </c>
      <c r="I235" s="195">
        <f>IF(Cruise!$H235&gt;0,Cruise!$H235,Cruise!$F235)</f>
        <v>264.2</v>
      </c>
      <c r="J235" s="195"/>
      <c r="K235" s="194">
        <v>32</v>
      </c>
      <c r="L235" s="195">
        <v>7.3</v>
      </c>
      <c r="M235" s="195"/>
      <c r="N235" s="195"/>
      <c r="O235" s="195">
        <v>5200</v>
      </c>
      <c r="P235" s="195"/>
      <c r="Q235" s="195">
        <f t="shared" si="41"/>
        <v>0.67450119929918528</v>
      </c>
      <c r="R235" s="195">
        <f t="shared" si="45"/>
        <v>0.64478582920666672</v>
      </c>
      <c r="S235" s="195">
        <f t="shared" si="42"/>
        <v>0.63351308386993177</v>
      </c>
      <c r="T235" s="195">
        <f>(Cruise!$Q235+Cruise!$R235)/2</f>
        <v>0.659643514252926</v>
      </c>
      <c r="U235" s="196">
        <f t="shared" si="46"/>
        <v>61717.119999999995</v>
      </c>
      <c r="V235" s="196">
        <f t="shared" si="47"/>
        <v>78.485064874175876</v>
      </c>
      <c r="W235" s="196">
        <f t="shared" si="48"/>
        <v>8.2562499999999996</v>
      </c>
      <c r="X235" s="196">
        <f t="shared" si="49"/>
        <v>4.3835616438356162</v>
      </c>
      <c r="Y235" s="196">
        <f t="shared" si="51"/>
        <v>36.19178082191781</v>
      </c>
      <c r="Z235" s="195"/>
      <c r="AA235" s="195">
        <v>40200</v>
      </c>
      <c r="AB235" s="195">
        <v>24</v>
      </c>
      <c r="AC235" s="195">
        <f t="shared" si="44"/>
        <v>12.288</v>
      </c>
      <c r="AD235" s="196">
        <f t="shared" si="50"/>
        <v>0.241368333750485</v>
      </c>
      <c r="AE235" s="197">
        <f>Cruise!$AA235/(Cruise!$AC235^3)</f>
        <v>21.666184895568424</v>
      </c>
      <c r="AF235" s="195"/>
      <c r="AG235" s="195"/>
      <c r="AH235" s="195"/>
      <c r="AI235" s="195"/>
      <c r="AJ235" s="195"/>
      <c r="AK235" s="195"/>
      <c r="AL235" s="195"/>
      <c r="AM235" s="195"/>
      <c r="AN235" s="195"/>
      <c r="AO235" s="195"/>
      <c r="AP235" s="195"/>
      <c r="AQ235" s="195" t="s">
        <v>91</v>
      </c>
      <c r="AR235" s="195"/>
      <c r="AS235" s="195"/>
      <c r="AT235" s="195"/>
      <c r="AU235" s="195"/>
      <c r="AV235" s="195"/>
      <c r="AW235" s="198">
        <f>Cruise!$I235/(Cruise!$S235*Cruise!$I235*Cruise!$K235*Cruise!$L235)^(1/3)</f>
        <v>7.7841715734420909</v>
      </c>
      <c r="AX235">
        <f>(Cruise!$S235*Cruise!$I235*Cruise!$K235*Cruise!$L235)*1.025/O235</f>
        <v>7.7069361719692129</v>
      </c>
    </row>
    <row r="236" spans="1:50" x14ac:dyDescent="0.3">
      <c r="A236" s="199" t="s">
        <v>216</v>
      </c>
      <c r="B236" s="200"/>
      <c r="C236" s="200"/>
      <c r="D236" s="200">
        <v>1964</v>
      </c>
      <c r="E236" s="200"/>
      <c r="F236" s="200"/>
      <c r="G236" s="200"/>
      <c r="H236" s="200">
        <v>268.60000000000002</v>
      </c>
      <c r="I236" s="200">
        <f>IF(Cruise!$H236&gt;0,Cruise!$H236,Cruise!$F236)</f>
        <v>268.60000000000002</v>
      </c>
      <c r="J236" s="200"/>
      <c r="K236" s="199">
        <v>32.200000000000003</v>
      </c>
      <c r="L236" s="200">
        <v>7.9</v>
      </c>
      <c r="M236" s="200"/>
      <c r="N236" s="200"/>
      <c r="O236" s="200">
        <v>6000</v>
      </c>
      <c r="P236" s="200"/>
      <c r="Q236" s="200">
        <f t="shared" si="41"/>
        <v>0.72810667441789612</v>
      </c>
      <c r="R236" s="200">
        <f t="shared" si="45"/>
        <v>0.71084991455433255</v>
      </c>
      <c r="S236" s="200">
        <f t="shared" si="42"/>
        <v>0.68976748050914338</v>
      </c>
      <c r="T236" s="200">
        <f>(Cruise!$Q236+Cruise!$R236)/2</f>
        <v>0.71947829448611433</v>
      </c>
      <c r="U236" s="196">
        <f t="shared" si="46"/>
        <v>68326.468000000023</v>
      </c>
      <c r="V236" s="196">
        <f t="shared" si="47"/>
        <v>74.975044904403887</v>
      </c>
      <c r="W236" s="196">
        <f t="shared" si="48"/>
        <v>8.341614906832298</v>
      </c>
      <c r="X236" s="196">
        <f t="shared" si="49"/>
        <v>4.075949367088608</v>
      </c>
      <c r="Y236" s="196">
        <f t="shared" si="51"/>
        <v>34</v>
      </c>
      <c r="Z236" s="200"/>
      <c r="AA236" s="200"/>
      <c r="AB236" s="200">
        <v>21</v>
      </c>
      <c r="AC236" s="200">
        <f t="shared" si="44"/>
        <v>10.752000000000001</v>
      </c>
      <c r="AD236" s="196">
        <f t="shared" si="50"/>
        <v>0.20946031284649047</v>
      </c>
      <c r="AE236" s="204"/>
      <c r="AF236" s="200"/>
      <c r="AG236" s="200"/>
      <c r="AH236" s="200"/>
      <c r="AI236" s="200"/>
      <c r="AJ236" s="200"/>
      <c r="AK236" s="200"/>
      <c r="AL236" s="200"/>
      <c r="AM236" s="200"/>
      <c r="AN236" s="200"/>
      <c r="AO236" s="200"/>
      <c r="AP236" s="200"/>
      <c r="AQ236" s="200" t="s">
        <v>217</v>
      </c>
      <c r="AR236" s="200"/>
      <c r="AS236" s="200"/>
      <c r="AT236" s="200"/>
      <c r="AU236" s="200"/>
      <c r="AV236" s="200"/>
      <c r="AW236" s="205">
        <f>Cruise!$I236/(Cruise!$S236*Cruise!$I236*Cruise!$K236*Cruise!$L236)^(1/3)</f>
        <v>7.4360467714212781</v>
      </c>
      <c r="AX236">
        <f>(Cruise!$S236*Cruise!$I236*Cruise!$K236*Cruise!$L236)*1.025/O236</f>
        <v>8.0512683460933054</v>
      </c>
    </row>
    <row r="237" spans="1:50" x14ac:dyDescent="0.3">
      <c r="A237" s="194" t="s">
        <v>218</v>
      </c>
      <c r="B237" s="195">
        <v>2002</v>
      </c>
      <c r="C237" s="195"/>
      <c r="D237" s="195">
        <v>699</v>
      </c>
      <c r="E237" s="195"/>
      <c r="F237" s="195"/>
      <c r="G237" s="195"/>
      <c r="H237" s="195">
        <v>194</v>
      </c>
      <c r="I237" s="195">
        <f>IF(Cruise!$H237&gt;0,Cruise!$H237,Cruise!$F237)</f>
        <v>194</v>
      </c>
      <c r="J237" s="195"/>
      <c r="K237" s="194">
        <v>28</v>
      </c>
      <c r="L237" s="195">
        <v>6.8</v>
      </c>
      <c r="M237" s="195"/>
      <c r="N237" s="195"/>
      <c r="O237" s="195">
        <v>4558</v>
      </c>
      <c r="P237" s="195"/>
      <c r="Q237" s="195">
        <f t="shared" si="41"/>
        <v>0.70537437974636497</v>
      </c>
      <c r="R237" s="195">
        <f t="shared" si="45"/>
        <v>0.64780208336803036</v>
      </c>
      <c r="S237" s="195">
        <f t="shared" si="42"/>
        <v>0.66434068230344245</v>
      </c>
      <c r="T237" s="195">
        <f>(Cruise!$Q237+Cruise!$R237)/2</f>
        <v>0.67658823155719761</v>
      </c>
      <c r="U237" s="196">
        <f t="shared" si="46"/>
        <v>36937.599999999999</v>
      </c>
      <c r="V237" s="196">
        <f t="shared" si="47"/>
        <v>67.311589221320688</v>
      </c>
      <c r="W237" s="196">
        <f t="shared" si="48"/>
        <v>6.9285714285714288</v>
      </c>
      <c r="X237" s="196">
        <f t="shared" si="49"/>
        <v>4.1176470588235299</v>
      </c>
      <c r="Y237" s="196">
        <f t="shared" si="51"/>
        <v>28.529411764705884</v>
      </c>
      <c r="Z237" s="195"/>
      <c r="AA237" s="195">
        <v>10656</v>
      </c>
      <c r="AB237" s="195">
        <v>19</v>
      </c>
      <c r="AC237" s="195">
        <f t="shared" si="44"/>
        <v>9.7279999999999998</v>
      </c>
      <c r="AD237" s="196">
        <f t="shared" si="50"/>
        <v>0.22299144062716381</v>
      </c>
      <c r="AE237" s="197">
        <f>Cruise!$AA237/(Cruise!$AC237^3)</f>
        <v>11.575067333550125</v>
      </c>
      <c r="AF237" s="195"/>
      <c r="AG237" s="195"/>
      <c r="AH237" s="195"/>
      <c r="AI237" s="195"/>
      <c r="AJ237" s="195"/>
      <c r="AK237" s="195"/>
      <c r="AL237" s="195"/>
      <c r="AM237" s="195"/>
      <c r="AN237" s="195"/>
      <c r="AO237" s="195"/>
      <c r="AP237" s="195"/>
      <c r="AQ237" s="195" t="s">
        <v>89</v>
      </c>
      <c r="AR237" s="195"/>
      <c r="AS237" s="195"/>
      <c r="AT237" s="195"/>
      <c r="AU237" s="195"/>
      <c r="AV237" s="195"/>
      <c r="AW237" s="198">
        <f>Cruise!$I237/(Cruise!$S237*Cruise!$I237*Cruise!$K237*Cruise!$L237)^(1/3)</f>
        <v>6.6759830067008927</v>
      </c>
      <c r="AX237">
        <f>(Cruise!$S237*Cruise!$I237*Cruise!$K237*Cruise!$L237)*1.025/O237</f>
        <v>5.5183477723382897</v>
      </c>
    </row>
    <row r="238" spans="1:50" x14ac:dyDescent="0.3">
      <c r="A238" s="199" t="s">
        <v>219</v>
      </c>
      <c r="B238" s="200">
        <v>2017</v>
      </c>
      <c r="C238" s="200"/>
      <c r="D238" s="200">
        <v>930</v>
      </c>
      <c r="E238" s="200">
        <v>602</v>
      </c>
      <c r="F238" s="200">
        <v>228.2</v>
      </c>
      <c r="G238" s="200"/>
      <c r="H238" s="200"/>
      <c r="I238" s="200">
        <f>IF(Cruise!$H238&gt;0,Cruise!$H238,Cruise!$F238)</f>
        <v>228.2</v>
      </c>
      <c r="J238" s="200"/>
      <c r="K238" s="199">
        <v>28.8</v>
      </c>
      <c r="L238" s="200">
        <v>6.3</v>
      </c>
      <c r="M238" s="200"/>
      <c r="N238" s="200">
        <v>47800</v>
      </c>
      <c r="O238" s="200">
        <v>4826</v>
      </c>
      <c r="P238" s="200"/>
      <c r="Q238" s="200">
        <f t="shared" si="41"/>
        <v>0.7146304647600229</v>
      </c>
      <c r="R238" s="200">
        <f t="shared" si="45"/>
        <v>0.6830366934007388</v>
      </c>
      <c r="S238" s="200">
        <f t="shared" si="42"/>
        <v>0.67438815474329572</v>
      </c>
      <c r="T238" s="200">
        <f>(Cruise!$Q238+Cruise!$R238)/2</f>
        <v>0.6988335790803808</v>
      </c>
      <c r="U238" s="196">
        <f t="shared" si="46"/>
        <v>41404.608</v>
      </c>
      <c r="V238" s="196">
        <f t="shared" si="47"/>
        <v>75.84100131299229</v>
      </c>
      <c r="W238" s="196">
        <f t="shared" si="48"/>
        <v>7.9236111111111107</v>
      </c>
      <c r="X238" s="196">
        <f t="shared" si="49"/>
        <v>4.5714285714285721</v>
      </c>
      <c r="Y238" s="196">
        <f t="shared" si="51"/>
        <v>36.222222222222221</v>
      </c>
      <c r="Z238" s="200"/>
      <c r="AA238" s="200"/>
      <c r="AB238" s="200"/>
      <c r="AC238" s="200">
        <v>10.29</v>
      </c>
      <c r="AD238" s="196">
        <f t="shared" si="50"/>
        <v>0.21748186621427212</v>
      </c>
      <c r="AE238" s="204">
        <f>Cruise!$AA238/(Cruise!$AC238^3)</f>
        <v>0</v>
      </c>
      <c r="AF238" s="200"/>
      <c r="AG238" s="200"/>
      <c r="AH238" s="200"/>
      <c r="AI238" s="200"/>
      <c r="AJ238" s="200"/>
      <c r="AK238" s="200"/>
      <c r="AL238" s="200"/>
      <c r="AM238" s="200"/>
      <c r="AN238" s="200"/>
      <c r="AO238" s="200"/>
      <c r="AP238" s="200"/>
      <c r="AQ238" s="200"/>
      <c r="AR238" s="200"/>
      <c r="AS238" s="200"/>
      <c r="AT238" s="200"/>
      <c r="AU238" s="200"/>
      <c r="AV238" s="200"/>
      <c r="AW238" s="205">
        <f>Cruise!$I238/(Cruise!$S238*Cruise!$I238*Cruise!$K238*Cruise!$L238)^(1/3)</f>
        <v>7.5219325800191319</v>
      </c>
      <c r="AX238">
        <f>(Cruise!$S238*Cruise!$I238*Cruise!$K238*Cruise!$L238)*1.025/O238</f>
        <v>5.9305525521475824</v>
      </c>
    </row>
    <row r="239" spans="1:50" x14ac:dyDescent="0.3">
      <c r="A239" s="194" t="s">
        <v>220</v>
      </c>
      <c r="B239" s="195">
        <v>2015</v>
      </c>
      <c r="C239" s="195"/>
      <c r="D239" s="195">
        <v>930</v>
      </c>
      <c r="E239" s="195">
        <v>602</v>
      </c>
      <c r="F239" s="195">
        <v>228</v>
      </c>
      <c r="G239" s="195"/>
      <c r="H239" s="195"/>
      <c r="I239" s="195">
        <f>IF(Cruise!$H239&gt;0,Cruise!$H239,Cruise!$F239)</f>
        <v>228</v>
      </c>
      <c r="J239" s="195"/>
      <c r="K239" s="194">
        <v>28.8</v>
      </c>
      <c r="L239" s="195">
        <v>6.3</v>
      </c>
      <c r="M239" s="195"/>
      <c r="N239" s="195">
        <v>47800</v>
      </c>
      <c r="O239" s="195">
        <v>4912</v>
      </c>
      <c r="P239" s="195"/>
      <c r="Q239" s="195">
        <f t="shared" si="41"/>
        <v>0.71447025009095944</v>
      </c>
      <c r="R239" s="195">
        <f t="shared" si="45"/>
        <v>0.68266727405419081</v>
      </c>
      <c r="S239" s="195">
        <f t="shared" si="42"/>
        <v>0.67421078529761447</v>
      </c>
      <c r="T239" s="195">
        <f>(Cruise!$Q239+Cruise!$R239)/2</f>
        <v>0.69856876207257512</v>
      </c>
      <c r="U239" s="196">
        <f t="shared" si="46"/>
        <v>41368.32</v>
      </c>
      <c r="V239" s="196">
        <f t="shared" si="47"/>
        <v>75.803328454331321</v>
      </c>
      <c r="W239" s="196">
        <f t="shared" si="48"/>
        <v>7.9166666666666661</v>
      </c>
      <c r="X239" s="196">
        <f t="shared" si="49"/>
        <v>4.5714285714285721</v>
      </c>
      <c r="Y239" s="196">
        <f t="shared" si="51"/>
        <v>36.19047619047619</v>
      </c>
      <c r="Z239" s="195"/>
      <c r="AA239" s="195"/>
      <c r="AB239" s="195"/>
      <c r="AC239" s="195">
        <v>10.29</v>
      </c>
      <c r="AD239" s="196">
        <f t="shared" si="50"/>
        <v>0.21757723208871471</v>
      </c>
      <c r="AE239" s="197">
        <f>Cruise!$AA239/(Cruise!$AC239^3)</f>
        <v>0</v>
      </c>
      <c r="AF239" s="195"/>
      <c r="AG239" s="195"/>
      <c r="AH239" s="195"/>
      <c r="AI239" s="195"/>
      <c r="AJ239" s="195"/>
      <c r="AK239" s="195"/>
      <c r="AL239" s="195"/>
      <c r="AM239" s="195"/>
      <c r="AN239" s="195"/>
      <c r="AO239" s="195"/>
      <c r="AP239" s="195"/>
      <c r="AQ239" s="195"/>
      <c r="AR239" s="195"/>
      <c r="AS239" s="195"/>
      <c r="AT239" s="195"/>
      <c r="AU239" s="195"/>
      <c r="AV239" s="195"/>
      <c r="AW239" s="198">
        <f>Cruise!$I239/(Cruise!$S239*Cruise!$I239*Cruise!$K239*Cruise!$L239)^(1/3)</f>
        <v>7.5181961749343031</v>
      </c>
      <c r="AX239">
        <f>(Cruise!$S239*Cruise!$I239*Cruise!$K239*Cruise!$L239)*1.025/O239</f>
        <v>5.8200817796180955</v>
      </c>
    </row>
    <row r="240" spans="1:50" x14ac:dyDescent="0.3">
      <c r="A240" s="199" t="s">
        <v>221</v>
      </c>
      <c r="B240" s="200">
        <v>1998</v>
      </c>
      <c r="C240" s="200"/>
      <c r="D240" s="200">
        <v>2416</v>
      </c>
      <c r="E240" s="200"/>
      <c r="F240" s="200"/>
      <c r="G240" s="200"/>
      <c r="H240" s="200">
        <v>279</v>
      </c>
      <c r="I240" s="200">
        <f>IF(Cruise!$H240&gt;0,Cruise!$H240,Cruise!$F240)</f>
        <v>279</v>
      </c>
      <c r="J240" s="200"/>
      <c r="K240" s="199">
        <v>32.200000000000003</v>
      </c>
      <c r="L240" s="200">
        <v>7.6</v>
      </c>
      <c r="M240" s="200"/>
      <c r="N240" s="200"/>
      <c r="O240" s="200">
        <v>6300</v>
      </c>
      <c r="P240" s="200"/>
      <c r="Q240" s="200">
        <f t="shared" si="41"/>
        <v>0.71828600007427945</v>
      </c>
      <c r="R240" s="200">
        <f t="shared" si="45"/>
        <v>0.70587796730494368</v>
      </c>
      <c r="S240" s="200">
        <f t="shared" si="42"/>
        <v>0.67846920812535194</v>
      </c>
      <c r="T240" s="200">
        <f>(Cruise!$Q240+Cruise!$R240)/2</f>
        <v>0.71208198368961151</v>
      </c>
      <c r="U240" s="196">
        <f t="shared" si="46"/>
        <v>68276.88</v>
      </c>
      <c r="V240" s="196">
        <f t="shared" si="47"/>
        <v>78.326890993836045</v>
      </c>
      <c r="W240" s="196">
        <f t="shared" si="48"/>
        <v>8.6645962732919255</v>
      </c>
      <c r="X240" s="196">
        <f t="shared" si="49"/>
        <v>4.2368421052631584</v>
      </c>
      <c r="Y240" s="196">
        <f t="shared" si="51"/>
        <v>36.710526315789473</v>
      </c>
      <c r="Z240" s="200"/>
      <c r="AA240" s="200">
        <v>50400</v>
      </c>
      <c r="AB240" s="200">
        <v>22</v>
      </c>
      <c r="AC240" s="200">
        <f t="shared" ref="AC240:AC245" si="52">(AB240*0.512)</f>
        <v>11.263999999999999</v>
      </c>
      <c r="AD240" s="196">
        <f t="shared" si="50"/>
        <v>0.21530595233673852</v>
      </c>
      <c r="AE240" s="204">
        <f>Cruise!$AA240/(Cruise!$AC240^3)</f>
        <v>35.265708310007604</v>
      </c>
      <c r="AF240" s="200"/>
      <c r="AG240" s="200"/>
      <c r="AH240" s="200"/>
      <c r="AI240" s="200"/>
      <c r="AJ240" s="200"/>
      <c r="AK240" s="200"/>
      <c r="AL240" s="200"/>
      <c r="AM240" s="200"/>
      <c r="AN240" s="200"/>
      <c r="AO240" s="200"/>
      <c r="AP240" s="200"/>
      <c r="AQ240" s="200" t="s">
        <v>91</v>
      </c>
      <c r="AR240" s="200"/>
      <c r="AS240" s="200"/>
      <c r="AT240" s="200"/>
      <c r="AU240" s="200"/>
      <c r="AV240" s="200"/>
      <c r="AW240" s="205">
        <f>Cruise!$I240/(Cruise!$S240*Cruise!$I240*Cruise!$K240*Cruise!$L240)^(1/3)</f>
        <v>7.7684838419612472</v>
      </c>
      <c r="AX240">
        <f>(Cruise!$S240*Cruise!$I240*Cruise!$K240*Cruise!$L240)*1.025/O240</f>
        <v>7.5368023372287976</v>
      </c>
    </row>
    <row r="241" spans="1:50" x14ac:dyDescent="0.3">
      <c r="A241" s="194" t="s">
        <v>222</v>
      </c>
      <c r="B241" s="195">
        <v>2003</v>
      </c>
      <c r="C241" s="195"/>
      <c r="D241" s="195">
        <f>2*700</f>
        <v>1400</v>
      </c>
      <c r="E241" s="195">
        <v>447</v>
      </c>
      <c r="F241" s="195">
        <v>206.5</v>
      </c>
      <c r="G241" s="195">
        <v>177.1</v>
      </c>
      <c r="H241" s="195"/>
      <c r="I241" s="195">
        <f>IF(Cruise!$H241&gt;0,Cruise!$H241,Cruise!$F241)</f>
        <v>206.5</v>
      </c>
      <c r="J241" s="224"/>
      <c r="K241" s="194">
        <v>28.8</v>
      </c>
      <c r="L241" s="222">
        <v>7</v>
      </c>
      <c r="M241" s="195">
        <v>15525</v>
      </c>
      <c r="N241" s="195">
        <v>42363</v>
      </c>
      <c r="O241" s="195">
        <v>5400</v>
      </c>
      <c r="P241" s="195"/>
      <c r="Q241" s="195">
        <f t="shared" si="41"/>
        <v>0.69777885717629573</v>
      </c>
      <c r="R241" s="195">
        <f t="shared" si="45"/>
        <v>0.64492527353054829</v>
      </c>
      <c r="S241" s="195">
        <f t="shared" si="42"/>
        <v>0.6563878132654436</v>
      </c>
      <c r="T241" s="195">
        <f>(Cruise!$Q241+Cruise!$R241)/2</f>
        <v>0.67135206535342196</v>
      </c>
      <c r="U241" s="196">
        <f t="shared" si="46"/>
        <v>41630.400000000001</v>
      </c>
      <c r="V241" s="196">
        <f t="shared" si="47"/>
        <v>69.125398313384906</v>
      </c>
      <c r="W241" s="196">
        <f t="shared" si="48"/>
        <v>7.1701388888888884</v>
      </c>
      <c r="X241" s="196">
        <f t="shared" si="49"/>
        <v>4.1142857142857148</v>
      </c>
      <c r="Y241" s="196">
        <f t="shared" si="51"/>
        <v>29.5</v>
      </c>
      <c r="Z241" s="195"/>
      <c r="AA241" s="195"/>
      <c r="AB241" s="195">
        <v>20</v>
      </c>
      <c r="AC241" s="195">
        <f t="shared" si="52"/>
        <v>10.24</v>
      </c>
      <c r="AD241" s="196">
        <f t="shared" si="50"/>
        <v>0.2275125850141097</v>
      </c>
      <c r="AE241" s="197"/>
      <c r="AF241" s="195"/>
      <c r="AG241" s="195"/>
      <c r="AH241" s="195"/>
      <c r="AI241" s="195"/>
      <c r="AJ241" s="195"/>
      <c r="AK241" s="195"/>
      <c r="AL241" s="195"/>
      <c r="AM241" s="195"/>
      <c r="AN241" s="197"/>
      <c r="AO241" s="197"/>
      <c r="AP241" s="195"/>
      <c r="AQ241" s="195"/>
      <c r="AR241" s="195"/>
      <c r="AS241" s="195"/>
      <c r="AT241" s="195"/>
      <c r="AU241" s="195"/>
      <c r="AV241" s="195"/>
      <c r="AW241" s="198">
        <f>Cruise!$I241/(Cruise!$S241*Cruise!$I241*Cruise!$K241*Cruise!$L241)^(1/3)</f>
        <v>6.8558771202718285</v>
      </c>
      <c r="AX241">
        <f>(Cruise!$S241*Cruise!$I241*Cruise!$K241*Cruise!$L241)*1.025/O241</f>
        <v>5.1868202596110855</v>
      </c>
    </row>
    <row r="242" spans="1:50" x14ac:dyDescent="0.3">
      <c r="A242" s="199" t="s">
        <v>223</v>
      </c>
      <c r="B242" s="200">
        <v>1999</v>
      </c>
      <c r="C242" s="200">
        <v>3114</v>
      </c>
      <c r="D242" s="200">
        <v>3840</v>
      </c>
      <c r="E242" s="200">
        <v>1181</v>
      </c>
      <c r="F242" s="200"/>
      <c r="G242" s="200"/>
      <c r="H242" s="200">
        <v>310</v>
      </c>
      <c r="I242" s="200">
        <f>IF(Cruise!$H242&gt;0,Cruise!$H242,Cruise!$F242)</f>
        <v>310</v>
      </c>
      <c r="J242" s="200"/>
      <c r="K242" s="199">
        <v>48</v>
      </c>
      <c r="L242" s="200">
        <v>8</v>
      </c>
      <c r="M242" s="200"/>
      <c r="N242" s="200">
        <v>137276</v>
      </c>
      <c r="O242" s="200">
        <v>11132</v>
      </c>
      <c r="P242" s="200">
        <v>0.7084094140092283</v>
      </c>
      <c r="Q242" s="200">
        <f t="shared" si="41"/>
        <v>0.71033167634119776</v>
      </c>
      <c r="R242" s="200">
        <f t="shared" si="45"/>
        <v>0.64216751749624179</v>
      </c>
      <c r="S242" s="200">
        <f t="shared" si="42"/>
        <v>0.66967176797198846</v>
      </c>
      <c r="T242" s="200">
        <f>(Cruise!$Q242+Cruise!$R242)/2</f>
        <v>0.67624959691871978</v>
      </c>
      <c r="U242" s="196">
        <f t="shared" si="46"/>
        <v>119040</v>
      </c>
      <c r="V242" s="196">
        <f t="shared" si="47"/>
        <v>72.624754857457816</v>
      </c>
      <c r="W242" s="196">
        <f t="shared" si="48"/>
        <v>6.458333333333333</v>
      </c>
      <c r="X242" s="196">
        <f t="shared" si="49"/>
        <v>6</v>
      </c>
      <c r="Y242" s="196">
        <f t="shared" si="51"/>
        <v>38.75</v>
      </c>
      <c r="Z242" s="200"/>
      <c r="AA242" s="200">
        <v>42000</v>
      </c>
      <c r="AB242" s="200">
        <v>23.7</v>
      </c>
      <c r="AC242" s="200">
        <f t="shared" si="52"/>
        <v>12.134399999999999</v>
      </c>
      <c r="AD242" s="196">
        <f t="shared" si="50"/>
        <v>0.22004066884452522</v>
      </c>
      <c r="AE242" s="204">
        <f>Cruise!$AA242/(Cruise!$AC242^3)</f>
        <v>23.506846394827363</v>
      </c>
      <c r="AF242" s="200"/>
      <c r="AG242" s="200" t="s">
        <v>75</v>
      </c>
      <c r="AH242" s="200" t="s">
        <v>224</v>
      </c>
      <c r="AI242" s="200"/>
      <c r="AJ242" s="200"/>
      <c r="AK242" s="200"/>
      <c r="AL242" s="200">
        <v>14</v>
      </c>
      <c r="AM242" s="200"/>
      <c r="AN242" s="200"/>
      <c r="AO242" s="200" t="s">
        <v>83</v>
      </c>
      <c r="AP242" s="200" t="s">
        <v>84</v>
      </c>
      <c r="AQ242" s="200"/>
      <c r="AR242" s="200"/>
      <c r="AS242" s="200"/>
      <c r="AT242" s="200"/>
      <c r="AU242" s="200"/>
      <c r="AV242" s="200"/>
      <c r="AW242" s="205">
        <f>Cruise!$I242/(Cruise!$S242*Cruise!$I242*Cruise!$K242*Cruise!$L242)^(1/3)</f>
        <v>7.2029443206287427</v>
      </c>
      <c r="AX242">
        <f>(Cruise!$S242*Cruise!$I242*Cruise!$K242*Cruise!$L242)*1.025/O242</f>
        <v>7.3401608373041798</v>
      </c>
    </row>
    <row r="243" spans="1:50" x14ac:dyDescent="0.3">
      <c r="A243" s="194" t="s">
        <v>225</v>
      </c>
      <c r="B243" s="195">
        <v>2001</v>
      </c>
      <c r="C243" s="195"/>
      <c r="D243" s="195">
        <f>2*382</f>
        <v>764</v>
      </c>
      <c r="E243" s="195">
        <v>295</v>
      </c>
      <c r="F243" s="197">
        <f>D243*0.3048</f>
        <v>232.86720000000003</v>
      </c>
      <c r="G243" s="195">
        <v>161.80000000000001</v>
      </c>
      <c r="H243" s="195"/>
      <c r="I243" s="195">
        <f>IF(Cruise!$H243&gt;0,Cruise!$H243,Cruise!$F243)</f>
        <v>232.86720000000003</v>
      </c>
      <c r="J243" s="197">
        <v>0</v>
      </c>
      <c r="K243" s="223">
        <v>24.8</v>
      </c>
      <c r="L243" s="197">
        <v>6</v>
      </c>
      <c r="M243" s="195">
        <v>9144</v>
      </c>
      <c r="N243" s="195">
        <v>28258</v>
      </c>
      <c r="O243" s="195">
        <v>2980</v>
      </c>
      <c r="P243" s="195"/>
      <c r="Q243" s="195">
        <f t="shared" si="41"/>
        <v>0.70207130041501498</v>
      </c>
      <c r="R243" s="195">
        <f t="shared" si="45"/>
        <v>0.70288480225829941</v>
      </c>
      <c r="S243" s="195">
        <f t="shared" si="42"/>
        <v>0.66085078363528893</v>
      </c>
      <c r="T243" s="195">
        <f>(Cruise!$Q243+Cruise!$R243)/2</f>
        <v>0.70247805133665719</v>
      </c>
      <c r="U243" s="196">
        <f t="shared" si="46"/>
        <v>34650.639360000008</v>
      </c>
      <c r="V243" s="196">
        <f t="shared" si="47"/>
        <v>82.682079172015023</v>
      </c>
      <c r="W243" s="196">
        <f t="shared" si="48"/>
        <v>9.3898064516129036</v>
      </c>
      <c r="X243" s="196">
        <f t="shared" si="49"/>
        <v>4.1333333333333337</v>
      </c>
      <c r="Y243" s="196">
        <f t="shared" si="51"/>
        <v>38.811200000000007</v>
      </c>
      <c r="Z243" s="195"/>
      <c r="AA243" s="195"/>
      <c r="AB243" s="195">
        <v>21</v>
      </c>
      <c r="AC243" s="195">
        <f t="shared" si="52"/>
        <v>10.752000000000001</v>
      </c>
      <c r="AD243" s="196">
        <f t="shared" si="50"/>
        <v>0.22495755927677683</v>
      </c>
      <c r="AE243" s="197"/>
      <c r="AF243" s="195"/>
      <c r="AG243" s="195"/>
      <c r="AH243" s="195"/>
      <c r="AI243" s="195"/>
      <c r="AJ243" s="195"/>
      <c r="AK243" s="195"/>
      <c r="AL243" s="195"/>
      <c r="AM243" s="195"/>
      <c r="AN243" s="197"/>
      <c r="AO243" s="197"/>
      <c r="AP243" s="195"/>
      <c r="AQ243" s="195"/>
      <c r="AR243" s="195"/>
      <c r="AS243" s="195"/>
      <c r="AT243" s="195"/>
      <c r="AU243" s="195"/>
      <c r="AV243" s="195"/>
      <c r="AW243" s="198">
        <f>Cruise!$I243/(Cruise!$S243*Cruise!$I243*Cruise!$K243*Cruise!$L243)^(1/3)</f>
        <v>8.2004326728365431</v>
      </c>
      <c r="AX243">
        <f>(Cruise!$S243*Cruise!$I243*Cruise!$K243*Cruise!$L243)*1.025/O243</f>
        <v>7.8763002445915378</v>
      </c>
    </row>
    <row r="244" spans="1:50" x14ac:dyDescent="0.3">
      <c r="A244" s="199" t="s">
        <v>226</v>
      </c>
      <c r="B244" s="200">
        <v>1995</v>
      </c>
      <c r="C244" s="200"/>
      <c r="D244" s="200">
        <v>296</v>
      </c>
      <c r="E244" s="200">
        <v>210</v>
      </c>
      <c r="F244" s="200">
        <f>D244*0.3048</f>
        <v>90.220800000000011</v>
      </c>
      <c r="G244" s="200"/>
      <c r="H244" s="200"/>
      <c r="I244" s="200">
        <f>IF(Cruise!$H244&gt;0,Cruise!$H244,Cruise!$F244)</f>
        <v>90.220800000000011</v>
      </c>
      <c r="J244" s="204"/>
      <c r="K244" s="225"/>
      <c r="L244" s="200"/>
      <c r="M244" s="200">
        <v>5302</v>
      </c>
      <c r="N244" s="200">
        <v>16927</v>
      </c>
      <c r="O244" s="200">
        <v>1790</v>
      </c>
      <c r="P244" s="200"/>
      <c r="Q244" s="200">
        <f t="shared" si="41"/>
        <v>0.48728589390440857</v>
      </c>
      <c r="R244" s="200"/>
      <c r="S244" s="200">
        <f t="shared" si="42"/>
        <v>0.50447793451180978</v>
      </c>
      <c r="T244" s="200"/>
      <c r="U244" s="196"/>
      <c r="V244" s="196"/>
      <c r="W244" s="196"/>
      <c r="X244" s="196"/>
      <c r="Y244" s="196"/>
      <c r="Z244" s="200"/>
      <c r="AA244" s="200"/>
      <c r="AB244" s="200">
        <v>20.5</v>
      </c>
      <c r="AC244" s="200">
        <f t="shared" si="52"/>
        <v>10.496</v>
      </c>
      <c r="AD244" s="196">
        <f t="shared" si="50"/>
        <v>0.35280601553309021</v>
      </c>
      <c r="AE244" s="204"/>
      <c r="AF244" s="200"/>
      <c r="AG244" s="200"/>
      <c r="AH244" s="200"/>
      <c r="AI244" s="200"/>
      <c r="AJ244" s="200"/>
      <c r="AK244" s="200"/>
      <c r="AL244" s="200"/>
      <c r="AM244" s="200"/>
      <c r="AN244" s="204"/>
      <c r="AO244" s="204"/>
      <c r="AP244" s="200"/>
      <c r="AQ244" s="200"/>
      <c r="AR244" s="200"/>
      <c r="AS244" s="200"/>
      <c r="AT244" s="200"/>
      <c r="AU244" s="200"/>
      <c r="AV244" s="200"/>
      <c r="AW244" s="205"/>
    </row>
    <row r="245" spans="1:50" ht="15" thickBot="1" x14ac:dyDescent="0.35">
      <c r="A245" s="226" t="s">
        <v>227</v>
      </c>
      <c r="B245" s="227">
        <v>1986</v>
      </c>
      <c r="C245" s="227"/>
      <c r="D245" s="227">
        <v>12</v>
      </c>
      <c r="E245" s="227"/>
      <c r="F245" s="227"/>
      <c r="G245" s="227"/>
      <c r="H245" s="227">
        <v>186.02</v>
      </c>
      <c r="I245" s="227">
        <f>IF(Cruise!$H245&gt;0,Cruise!$H245,Cruise!$F245)</f>
        <v>186.02</v>
      </c>
      <c r="J245" s="227"/>
      <c r="K245" s="226">
        <v>23.7</v>
      </c>
      <c r="L245" s="227">
        <v>5.64</v>
      </c>
      <c r="M245" s="227"/>
      <c r="N245" s="227"/>
      <c r="O245" s="227">
        <v>5143</v>
      </c>
      <c r="P245" s="227"/>
      <c r="Q245" s="227">
        <f t="shared" si="41"/>
        <v>0.7678979529583041</v>
      </c>
      <c r="R245" s="227">
        <f>(0.23/AD245^(2/3))*((I245/K245)+20)/26</f>
        <v>0.75666738400245692</v>
      </c>
      <c r="S245" s="227">
        <f t="shared" si="42"/>
        <v>0.74126136138472409</v>
      </c>
      <c r="T245" s="227">
        <f>(Cruise!$Q245+Cruise!$R245)/2</f>
        <v>0.76228266848038051</v>
      </c>
      <c r="U245" s="196">
        <f t="shared" si="46"/>
        <v>24864.92136</v>
      </c>
      <c r="V245" s="196">
        <f t="shared" si="47"/>
        <v>71.003775830270612</v>
      </c>
      <c r="W245" s="196">
        <f t="shared" si="48"/>
        <v>7.8489451476793253</v>
      </c>
      <c r="X245" s="196">
        <f t="shared" si="49"/>
        <v>4.2021276595744679</v>
      </c>
      <c r="Y245" s="196">
        <f t="shared" si="51"/>
        <v>32.9822695035461</v>
      </c>
      <c r="Z245" s="227"/>
      <c r="AA245" s="227">
        <v>13200</v>
      </c>
      <c r="AB245" s="227">
        <v>15.5</v>
      </c>
      <c r="AC245" s="227">
        <f t="shared" si="52"/>
        <v>7.9359999999999999</v>
      </c>
      <c r="AD245" s="196">
        <f>AC245/SQRT(I245*9.81)</f>
        <v>0.18577502800100948</v>
      </c>
      <c r="AE245" s="228">
        <f>Cruise!$AA245/(Cruise!$AC245^3)</f>
        <v>26.410033601932003</v>
      </c>
      <c r="AF245" s="227"/>
      <c r="AG245" s="227"/>
      <c r="AH245" s="227"/>
      <c r="AI245" s="227"/>
      <c r="AJ245" s="227" t="s">
        <v>112</v>
      </c>
      <c r="AK245" s="227"/>
      <c r="AL245" s="227"/>
      <c r="AM245" s="227"/>
      <c r="AN245" s="227"/>
      <c r="AO245" s="227"/>
      <c r="AP245" s="227"/>
      <c r="AQ245" s="227" t="s">
        <v>89</v>
      </c>
      <c r="AR245" s="227"/>
      <c r="AS245" s="227"/>
      <c r="AT245" s="227"/>
      <c r="AU245" s="227"/>
      <c r="AV245" s="227"/>
      <c r="AW245" s="229">
        <f>Cruise!$I245/(Cruise!$S245*Cruise!$I245*Cruise!$K245*Cruise!$L245)^(1/3)</f>
        <v>7.0421751490060229</v>
      </c>
      <c r="AX245">
        <f>(Cruise!$S245*Cruise!$I245*Cruise!$K245*Cruise!$L245)*1.025/O245</f>
        <v>3.673379466165398</v>
      </c>
    </row>
    <row r="246" spans="1:50" x14ac:dyDescent="0.3"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3"/>
      <c r="AE246" s="93"/>
      <c r="AF246" s="92"/>
      <c r="AG246" s="92"/>
      <c r="AH246" s="92"/>
      <c r="AI246" s="92"/>
      <c r="AJ246" s="92"/>
      <c r="AK246" s="92"/>
      <c r="AL246" s="92"/>
      <c r="AM246" s="92"/>
      <c r="AN246" s="93"/>
      <c r="AO246" s="93"/>
      <c r="AP246" s="92"/>
      <c r="AQ246" s="92"/>
      <c r="AR246" s="92"/>
      <c r="AS246" s="92"/>
      <c r="AT246" s="92"/>
      <c r="AU246" s="92"/>
      <c r="AV246" s="92"/>
    </row>
    <row r="247" spans="1:50" x14ac:dyDescent="0.3"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3"/>
      <c r="AE247" s="93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</row>
    <row r="248" spans="1:50" x14ac:dyDescent="0.3"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3"/>
      <c r="AE248" s="93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2"/>
      <c r="AT248" s="92"/>
      <c r="AU248" s="92"/>
      <c r="AV248" s="92"/>
    </row>
    <row r="249" spans="1:50" x14ac:dyDescent="0.3"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3"/>
      <c r="AF249" s="92"/>
      <c r="AG249" s="92"/>
      <c r="AH249" s="92"/>
      <c r="AI249" s="92"/>
      <c r="AJ249" s="92"/>
      <c r="AK249" s="92"/>
      <c r="AL249" s="92"/>
      <c r="AM249" s="92"/>
      <c r="AN249" s="92"/>
      <c r="AO249" s="93"/>
      <c r="AP249" s="92"/>
      <c r="AQ249" s="92"/>
      <c r="AR249" s="92"/>
      <c r="AS249" s="92"/>
      <c r="AT249" s="92"/>
      <c r="AU249" s="92"/>
      <c r="AV249" s="92"/>
    </row>
    <row r="250" spans="1:50" x14ac:dyDescent="0.3"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3"/>
      <c r="AE250" s="93"/>
      <c r="AF250" s="92"/>
      <c r="AG250" s="92"/>
      <c r="AH250" s="92"/>
      <c r="AI250" s="92"/>
      <c r="AJ250" s="92"/>
      <c r="AK250" s="92"/>
      <c r="AL250" s="92"/>
      <c r="AM250" s="92"/>
      <c r="AN250" s="92"/>
      <c r="AO250" s="93"/>
      <c r="AP250" s="92"/>
      <c r="AQ250" s="92"/>
      <c r="AR250" s="92"/>
      <c r="AS250" s="92"/>
      <c r="AT250" s="92"/>
      <c r="AU250" s="92"/>
      <c r="AV250" s="92"/>
    </row>
    <row r="251" spans="1:50" x14ac:dyDescent="0.3">
      <c r="A251" s="92"/>
      <c r="B251" s="92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  <c r="AD251" s="93"/>
      <c r="AE251" s="93"/>
      <c r="AF251" s="92"/>
      <c r="AG251" s="92"/>
      <c r="AH251" s="92"/>
      <c r="AI251" s="92"/>
      <c r="AJ251" s="92"/>
      <c r="AK251" s="92"/>
      <c r="AL251" s="92"/>
      <c r="AM251" s="92"/>
      <c r="AN251" s="92"/>
      <c r="AO251" s="92"/>
      <c r="AP251" s="92"/>
      <c r="AQ251" s="92"/>
      <c r="AR251" s="92"/>
      <c r="AS251" s="92"/>
      <c r="AT251" s="92"/>
      <c r="AU251" s="92"/>
      <c r="AV251" s="92"/>
    </row>
    <row r="252" spans="1:50" x14ac:dyDescent="0.3">
      <c r="A252" s="92"/>
      <c r="B252" s="92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  <c r="AD252" s="93"/>
      <c r="AE252" s="93"/>
      <c r="AF252" s="92"/>
      <c r="AG252" s="92"/>
      <c r="AH252" s="92"/>
      <c r="AI252" s="92"/>
      <c r="AJ252" s="92"/>
      <c r="AK252" s="92"/>
      <c r="AL252" s="92"/>
      <c r="AM252" s="92"/>
      <c r="AN252" s="93"/>
      <c r="AO252" s="93"/>
      <c r="AP252" s="92"/>
      <c r="AQ252" s="92"/>
      <c r="AR252" s="92"/>
      <c r="AS252" s="92"/>
      <c r="AT252" s="92"/>
      <c r="AU252" s="92"/>
      <c r="AV252" s="92"/>
    </row>
    <row r="253" spans="1:50" x14ac:dyDescent="0.3">
      <c r="A253" s="92"/>
      <c r="B253" s="92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  <c r="AA253" s="92"/>
      <c r="AB253" s="92"/>
      <c r="AC253" s="92"/>
      <c r="AD253" s="93"/>
      <c r="AE253" s="93"/>
      <c r="AF253" s="92"/>
      <c r="AG253" s="92"/>
      <c r="AH253" s="92"/>
      <c r="AI253" s="92"/>
      <c r="AJ253" s="92"/>
      <c r="AK253" s="92"/>
      <c r="AL253" s="92"/>
      <c r="AM253" s="92"/>
      <c r="AN253" s="93"/>
      <c r="AO253" s="93"/>
      <c r="AP253" s="92"/>
      <c r="AQ253" s="92"/>
      <c r="AR253" s="92"/>
      <c r="AS253" s="92"/>
      <c r="AT253" s="92"/>
      <c r="AU253" s="92"/>
      <c r="AV253" s="92"/>
    </row>
    <row r="254" spans="1:50" x14ac:dyDescent="0.3">
      <c r="A254" s="92"/>
      <c r="B254" s="92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  <c r="AD254" s="92"/>
      <c r="AE254" s="93"/>
      <c r="AF254" s="92"/>
      <c r="AG254" s="92"/>
      <c r="AH254" s="92"/>
      <c r="AI254" s="92"/>
      <c r="AJ254" s="92"/>
      <c r="AK254" s="92"/>
      <c r="AL254" s="92"/>
      <c r="AM254" s="92"/>
      <c r="AN254" s="92"/>
      <c r="AO254" s="92"/>
      <c r="AP254" s="92"/>
      <c r="AQ254" s="92"/>
      <c r="AR254" s="92"/>
      <c r="AS254" s="92"/>
      <c r="AT254" s="92"/>
      <c r="AU254" s="92"/>
      <c r="AV254" s="92"/>
    </row>
    <row r="255" spans="1:50" x14ac:dyDescent="0.3">
      <c r="A255" s="92"/>
      <c r="B255" s="92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3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92"/>
      <c r="AS255" s="92"/>
      <c r="AT255" s="92"/>
      <c r="AU255" s="92"/>
      <c r="AV255" s="92"/>
    </row>
    <row r="256" spans="1:50" x14ac:dyDescent="0.3">
      <c r="A256" s="92"/>
      <c r="B256" s="92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  <c r="AD256" s="92"/>
      <c r="AE256" s="93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  <c r="AR256" s="92"/>
      <c r="AS256" s="92"/>
      <c r="AT256" s="92"/>
      <c r="AU256" s="92"/>
      <c r="AV256" s="92"/>
    </row>
    <row r="257" spans="1:48" x14ac:dyDescent="0.3">
      <c r="A257" s="92"/>
      <c r="B257" s="92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  <c r="AD257" s="93"/>
      <c r="AE257" s="93"/>
      <c r="AF257" s="92"/>
      <c r="AG257" s="92"/>
      <c r="AH257" s="92"/>
      <c r="AI257" s="92"/>
      <c r="AJ257" s="92"/>
      <c r="AK257" s="92"/>
      <c r="AL257" s="92"/>
      <c r="AM257" s="92"/>
      <c r="AN257" s="92"/>
      <c r="AO257" s="92"/>
      <c r="AP257" s="92"/>
      <c r="AQ257" s="92"/>
      <c r="AR257" s="92"/>
      <c r="AS257" s="92"/>
      <c r="AT257" s="92"/>
      <c r="AU257" s="92"/>
      <c r="AV257" s="92"/>
    </row>
    <row r="258" spans="1:48" x14ac:dyDescent="0.3">
      <c r="A258" s="92"/>
      <c r="B258" s="92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3"/>
      <c r="AE258" s="93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2"/>
      <c r="AT258" s="92"/>
      <c r="AU258" s="92"/>
      <c r="AV258" s="92"/>
    </row>
    <row r="259" spans="1:48" x14ac:dyDescent="0.3">
      <c r="A259" s="92"/>
      <c r="B259" s="92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3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2"/>
      <c r="AT259" s="92"/>
      <c r="AU259" s="92"/>
      <c r="AV259" s="92"/>
    </row>
    <row r="260" spans="1:48" x14ac:dyDescent="0.3">
      <c r="A260" s="92"/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3"/>
      <c r="AE260" s="93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2"/>
      <c r="AT260" s="92"/>
      <c r="AU260" s="92"/>
      <c r="AV260" s="92"/>
    </row>
    <row r="261" spans="1:48" x14ac:dyDescent="0.3">
      <c r="A261" s="92"/>
      <c r="B261" s="92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3"/>
      <c r="AE261" s="93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2"/>
      <c r="AT261" s="92"/>
      <c r="AU261" s="92"/>
      <c r="AV261" s="92"/>
    </row>
    <row r="262" spans="1:48" x14ac:dyDescent="0.3">
      <c r="A262" s="92"/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3"/>
      <c r="AE262" s="93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  <c r="AT262" s="92"/>
      <c r="AU262" s="92"/>
      <c r="AV262" s="92"/>
    </row>
    <row r="263" spans="1:48" x14ac:dyDescent="0.3">
      <c r="A263" s="92"/>
      <c r="B263" s="92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  <c r="AB263" s="92"/>
      <c r="AC263" s="92"/>
      <c r="AD263" s="92"/>
      <c r="AE263" s="93"/>
      <c r="AF263" s="92"/>
      <c r="AG263" s="92"/>
      <c r="AH263" s="92"/>
      <c r="AI263" s="92"/>
      <c r="AJ263" s="92"/>
      <c r="AK263" s="92"/>
      <c r="AL263" s="92"/>
      <c r="AM263" s="92"/>
      <c r="AN263" s="92"/>
      <c r="AO263" s="92"/>
      <c r="AP263" s="92"/>
      <c r="AQ263" s="92"/>
      <c r="AR263" s="92"/>
      <c r="AS263" s="92"/>
      <c r="AT263" s="92"/>
      <c r="AU263" s="92"/>
      <c r="AV263" s="92"/>
    </row>
    <row r="264" spans="1:48" x14ac:dyDescent="0.3">
      <c r="A264" s="92"/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2"/>
      <c r="AE264" s="93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  <c r="AT264" s="92"/>
      <c r="AU264" s="92"/>
      <c r="AV264" s="92"/>
    </row>
    <row r="265" spans="1:48" x14ac:dyDescent="0.3">
      <c r="A265" s="92"/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3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</row>
    <row r="266" spans="1:48" x14ac:dyDescent="0.3">
      <c r="A266" s="92"/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3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</row>
    <row r="267" spans="1:48" x14ac:dyDescent="0.3">
      <c r="A267" s="92"/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3"/>
      <c r="AE267" s="93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  <c r="AR267" s="92"/>
      <c r="AS267" s="92"/>
      <c r="AT267" s="92"/>
      <c r="AU267" s="92"/>
      <c r="AV267" s="92"/>
    </row>
    <row r="268" spans="1:48" x14ac:dyDescent="0.3">
      <c r="A268" s="92"/>
      <c r="B268" s="92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3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92"/>
      <c r="AS268" s="92"/>
      <c r="AT268" s="92"/>
      <c r="AU268" s="92"/>
      <c r="AV268" s="92"/>
    </row>
    <row r="269" spans="1:48" x14ac:dyDescent="0.3">
      <c r="A269" s="92"/>
      <c r="B269" s="92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  <c r="AD269" s="92"/>
      <c r="AE269" s="93"/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  <c r="AR269" s="92"/>
      <c r="AS269" s="92"/>
      <c r="AT269" s="92"/>
      <c r="AU269" s="92"/>
      <c r="AV269" s="92"/>
    </row>
    <row r="270" spans="1:48" x14ac:dyDescent="0.3">
      <c r="A270" s="92"/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  <c r="AD270" s="92"/>
      <c r="AE270" s="93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  <c r="AR270" s="92"/>
      <c r="AS270" s="92"/>
      <c r="AT270" s="92"/>
      <c r="AU270" s="92"/>
      <c r="AV270" s="92"/>
    </row>
    <row r="271" spans="1:48" x14ac:dyDescent="0.3">
      <c r="A271" s="92"/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  <c r="AB271" s="92"/>
      <c r="AC271" s="92"/>
      <c r="AD271" s="92"/>
      <c r="AE271" s="93"/>
      <c r="AF271" s="92"/>
      <c r="AG271" s="92"/>
      <c r="AH271" s="92"/>
      <c r="AI271" s="92"/>
      <c r="AJ271" s="92"/>
      <c r="AK271" s="92"/>
      <c r="AL271" s="92"/>
      <c r="AM271" s="92"/>
      <c r="AN271" s="92"/>
      <c r="AO271" s="92"/>
      <c r="AP271" s="92"/>
      <c r="AQ271" s="92"/>
      <c r="AR271" s="92"/>
      <c r="AS271" s="92"/>
      <c r="AT271" s="92"/>
      <c r="AU271" s="92"/>
      <c r="AV271" s="92"/>
    </row>
    <row r="272" spans="1:48" x14ac:dyDescent="0.3">
      <c r="A272" s="92"/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  <c r="AD272" s="92"/>
      <c r="AE272" s="93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  <c r="AR272" s="92"/>
      <c r="AS272" s="92"/>
      <c r="AT272" s="92"/>
      <c r="AU272" s="92"/>
      <c r="AV272" s="92"/>
    </row>
    <row r="273" spans="1:48" x14ac:dyDescent="0.3">
      <c r="A273" s="92"/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  <c r="AB273" s="92"/>
      <c r="AC273" s="92"/>
      <c r="AD273" s="92"/>
      <c r="AE273" s="93"/>
      <c r="AF273" s="92"/>
      <c r="AG273" s="92"/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  <c r="AR273" s="92"/>
      <c r="AS273" s="92"/>
      <c r="AT273" s="92"/>
      <c r="AU273" s="92"/>
      <c r="AV273" s="92"/>
    </row>
    <row r="274" spans="1:48" ht="15.6" x14ac:dyDescent="0.3">
      <c r="A274" s="95"/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  <c r="AD274" s="93"/>
      <c r="AE274" s="93"/>
      <c r="AF274" s="92"/>
      <c r="AG274" s="92"/>
      <c r="AH274" s="92"/>
      <c r="AI274" s="92"/>
      <c r="AJ274" s="92"/>
      <c r="AK274" s="92"/>
      <c r="AL274" s="92"/>
      <c r="AM274" s="92"/>
      <c r="AN274" s="93"/>
      <c r="AO274" s="93"/>
      <c r="AP274" s="92"/>
      <c r="AQ274" s="92"/>
      <c r="AR274" s="92"/>
      <c r="AS274" s="92"/>
      <c r="AT274" s="92"/>
      <c r="AU274" s="92"/>
      <c r="AV274" s="92"/>
    </row>
    <row r="275" spans="1:48" x14ac:dyDescent="0.3">
      <c r="A275" s="97"/>
      <c r="B275" s="88"/>
      <c r="C275" s="88"/>
      <c r="D275" s="88"/>
      <c r="E275" s="88"/>
      <c r="F275" s="88"/>
      <c r="G275" s="88"/>
      <c r="H275" s="88"/>
      <c r="I275" s="98"/>
      <c r="J275" s="88"/>
      <c r="K275" s="88"/>
      <c r="L275" s="88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93"/>
      <c r="AF275" s="92"/>
      <c r="AG275" s="92"/>
      <c r="AH275" s="92"/>
      <c r="AI275" s="92"/>
      <c r="AJ275" s="92"/>
      <c r="AK275" s="92"/>
      <c r="AL275" s="92"/>
      <c r="AM275" s="92"/>
      <c r="AN275" s="92"/>
      <c r="AO275" s="93"/>
      <c r="AP275" s="92"/>
      <c r="AQ275" s="92"/>
      <c r="AR275" s="92"/>
      <c r="AS275" s="92"/>
      <c r="AT275" s="92"/>
      <c r="AU275" s="92"/>
      <c r="AV275" s="92"/>
    </row>
    <row r="276" spans="1:48" x14ac:dyDescent="0.3">
      <c r="A276" s="97"/>
      <c r="B276" s="88"/>
      <c r="C276" s="88"/>
      <c r="D276" s="88"/>
      <c r="E276" s="88"/>
      <c r="F276" s="88"/>
      <c r="G276" s="88"/>
      <c r="H276" s="88"/>
      <c r="I276" s="98"/>
      <c r="J276" s="88"/>
      <c r="K276" s="88"/>
      <c r="L276" s="88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  <c r="AD276" s="93"/>
      <c r="AE276" s="93"/>
      <c r="AF276" s="92"/>
      <c r="AG276" s="92"/>
      <c r="AH276" s="92"/>
      <c r="AI276" s="92"/>
      <c r="AJ276" s="92"/>
      <c r="AK276" s="92"/>
      <c r="AL276" s="92"/>
      <c r="AM276" s="92"/>
      <c r="AN276" s="93"/>
      <c r="AO276" s="93"/>
      <c r="AP276" s="92"/>
      <c r="AQ276" s="92"/>
      <c r="AR276" s="92"/>
      <c r="AS276" s="92"/>
      <c r="AT276" s="92"/>
      <c r="AU276" s="92"/>
      <c r="AV276" s="92"/>
    </row>
    <row r="277" spans="1:48" x14ac:dyDescent="0.3">
      <c r="A277" s="97"/>
      <c r="B277" s="88"/>
      <c r="C277" s="88"/>
      <c r="D277" s="88"/>
      <c r="E277" s="88"/>
      <c r="F277" s="88"/>
      <c r="G277" s="88"/>
      <c r="H277" s="88"/>
      <c r="I277" s="98"/>
      <c r="J277" s="88"/>
      <c r="K277" s="88"/>
      <c r="L277" s="88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3"/>
      <c r="AE277" s="93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  <c r="AR277" s="92"/>
      <c r="AS277" s="92"/>
      <c r="AT277" s="92"/>
      <c r="AU277" s="92"/>
      <c r="AV277" s="92"/>
    </row>
    <row r="278" spans="1:48" x14ac:dyDescent="0.3">
      <c r="A278" s="97"/>
      <c r="B278" s="88"/>
      <c r="C278" s="88"/>
      <c r="D278" s="88"/>
      <c r="E278" s="88"/>
      <c r="F278" s="88"/>
      <c r="G278" s="88"/>
      <c r="H278" s="88"/>
      <c r="I278" s="98"/>
      <c r="J278" s="88"/>
      <c r="K278" s="88"/>
      <c r="L278" s="88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3"/>
      <c r="AE278" s="93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  <c r="AR278" s="92"/>
      <c r="AS278" s="92"/>
      <c r="AT278" s="92"/>
      <c r="AU278" s="92"/>
      <c r="AV278" s="92"/>
    </row>
    <row r="279" spans="1:48" x14ac:dyDescent="0.3">
      <c r="A279" s="97"/>
      <c r="B279" s="88"/>
      <c r="C279" s="88"/>
      <c r="D279" s="88"/>
      <c r="E279" s="88"/>
      <c r="F279" s="88"/>
      <c r="G279" s="88"/>
      <c r="H279" s="88"/>
      <c r="I279" s="98"/>
      <c r="J279" s="88"/>
      <c r="K279" s="88"/>
      <c r="L279" s="88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3"/>
      <c r="AE279" s="93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</row>
    <row r="280" spans="1:48" x14ac:dyDescent="0.3">
      <c r="A280" s="97"/>
      <c r="B280" s="88"/>
      <c r="C280" s="88"/>
      <c r="D280" s="88"/>
      <c r="E280" s="88"/>
      <c r="F280" s="88"/>
      <c r="G280" s="88"/>
      <c r="H280" s="88"/>
      <c r="I280" s="98"/>
      <c r="J280" s="88"/>
      <c r="K280" s="88"/>
      <c r="L280" s="88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3"/>
      <c r="X280" s="93"/>
      <c r="Y280" s="93"/>
      <c r="Z280" s="92"/>
      <c r="AA280" s="92"/>
      <c r="AB280" s="92"/>
      <c r="AC280" s="92"/>
      <c r="AD280" s="93"/>
      <c r="AE280" s="93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  <c r="AR280" s="92"/>
      <c r="AS280" s="92"/>
      <c r="AT280" s="92"/>
      <c r="AU280" s="92"/>
      <c r="AV280" s="92"/>
    </row>
    <row r="281" spans="1:48" x14ac:dyDescent="0.3">
      <c r="A281" s="97"/>
      <c r="B281" s="88"/>
      <c r="C281" s="88"/>
      <c r="D281" s="88"/>
      <c r="E281" s="88"/>
      <c r="F281" s="88"/>
      <c r="G281" s="88"/>
      <c r="H281" s="88"/>
      <c r="I281" s="98"/>
      <c r="J281" s="88"/>
      <c r="K281" s="88"/>
      <c r="L281" s="88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3"/>
      <c r="X281" s="93"/>
      <c r="Y281" s="93"/>
      <c r="Z281" s="92"/>
      <c r="AA281" s="92"/>
      <c r="AB281" s="92"/>
      <c r="AC281" s="92"/>
      <c r="AD281" s="93"/>
      <c r="AE281" s="93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  <c r="AR281" s="92"/>
      <c r="AS281" s="92"/>
      <c r="AT281" s="92"/>
      <c r="AU281" s="92"/>
      <c r="AV281" s="92"/>
    </row>
    <row r="282" spans="1:48" x14ac:dyDescent="0.3">
      <c r="A282" s="97"/>
      <c r="B282" s="88"/>
      <c r="C282" s="88"/>
      <c r="D282" s="88"/>
      <c r="E282" s="88"/>
      <c r="F282" s="88"/>
      <c r="G282" s="88"/>
      <c r="H282" s="88"/>
      <c r="I282" s="98"/>
      <c r="J282" s="88"/>
      <c r="K282" s="88"/>
      <c r="L282" s="88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3"/>
      <c r="AE282" s="93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  <c r="AR282" s="92"/>
      <c r="AS282" s="92"/>
      <c r="AT282" s="92"/>
      <c r="AU282" s="92"/>
      <c r="AV282" s="92"/>
    </row>
    <row r="283" spans="1:48" x14ac:dyDescent="0.3">
      <c r="A283" s="97"/>
      <c r="B283" s="88"/>
      <c r="C283" s="88"/>
      <c r="D283" s="88"/>
      <c r="E283" s="88"/>
      <c r="F283" s="88"/>
      <c r="G283" s="88"/>
      <c r="H283" s="88"/>
      <c r="I283" s="98"/>
      <c r="J283" s="88"/>
      <c r="K283" s="88"/>
      <c r="L283" s="88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3"/>
      <c r="AE283" s="93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  <c r="AR283" s="92"/>
      <c r="AS283" s="92"/>
      <c r="AT283" s="92"/>
      <c r="AU283" s="92"/>
      <c r="AV283" s="92"/>
    </row>
    <row r="284" spans="1:48" x14ac:dyDescent="0.3">
      <c r="A284" s="97"/>
      <c r="B284" s="88"/>
      <c r="C284" s="88"/>
      <c r="D284" s="88"/>
      <c r="E284" s="88"/>
      <c r="F284" s="88"/>
      <c r="G284" s="88"/>
      <c r="H284" s="88"/>
      <c r="I284" s="98"/>
      <c r="J284" s="88"/>
      <c r="K284" s="88"/>
      <c r="L284" s="88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3"/>
      <c r="X284" s="93"/>
      <c r="Y284" s="93"/>
      <c r="Z284" s="92"/>
      <c r="AA284" s="92"/>
      <c r="AB284" s="92"/>
      <c r="AC284" s="92"/>
      <c r="AD284" s="93"/>
      <c r="AE284" s="93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  <c r="AR284" s="92"/>
      <c r="AS284" s="92"/>
      <c r="AT284" s="92"/>
      <c r="AU284" s="92"/>
      <c r="AV284" s="92"/>
    </row>
    <row r="285" spans="1:48" x14ac:dyDescent="0.3">
      <c r="A285" s="97"/>
      <c r="B285" s="88"/>
      <c r="C285" s="88"/>
      <c r="D285" s="88"/>
      <c r="E285" s="88"/>
      <c r="F285" s="88"/>
      <c r="G285" s="88"/>
      <c r="H285" s="88"/>
      <c r="I285" s="98"/>
      <c r="J285" s="88"/>
      <c r="K285" s="88"/>
      <c r="L285" s="88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3"/>
      <c r="X285" s="93"/>
      <c r="Y285" s="93"/>
      <c r="Z285" s="92"/>
      <c r="AA285" s="92"/>
      <c r="AB285" s="92"/>
      <c r="AC285" s="92"/>
      <c r="AD285" s="93"/>
      <c r="AE285" s="93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  <c r="AV285" s="92"/>
    </row>
    <row r="286" spans="1:48" x14ac:dyDescent="0.3">
      <c r="A286" s="97"/>
      <c r="B286" s="88"/>
      <c r="C286" s="88"/>
      <c r="D286" s="88"/>
      <c r="E286" s="88"/>
      <c r="F286" s="88"/>
      <c r="G286" s="88"/>
      <c r="H286" s="88"/>
      <c r="I286" s="98"/>
      <c r="J286" s="88"/>
      <c r="K286" s="88"/>
      <c r="L286" s="88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3"/>
      <c r="X286" s="93"/>
      <c r="Y286" s="93"/>
      <c r="Z286" s="92"/>
      <c r="AA286" s="92"/>
      <c r="AB286" s="92"/>
      <c r="AC286" s="92"/>
      <c r="AD286" s="93"/>
      <c r="AE286" s="93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  <c r="AT286" s="92"/>
      <c r="AU286" s="92"/>
      <c r="AV286" s="92"/>
    </row>
    <row r="287" spans="1:48" x14ac:dyDescent="0.3">
      <c r="A287" s="97"/>
      <c r="B287" s="88"/>
      <c r="C287" s="88"/>
      <c r="D287" s="88"/>
      <c r="E287" s="88"/>
      <c r="F287" s="88"/>
      <c r="G287" s="88"/>
      <c r="H287" s="88"/>
      <c r="I287" s="98"/>
      <c r="J287" s="88"/>
      <c r="K287" s="88"/>
      <c r="L287" s="88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3"/>
      <c r="AE287" s="93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92"/>
      <c r="AS287" s="92"/>
      <c r="AT287" s="92"/>
      <c r="AU287" s="92"/>
      <c r="AV287" s="92"/>
    </row>
    <row r="288" spans="1:48" x14ac:dyDescent="0.3">
      <c r="A288" s="97"/>
      <c r="B288" s="88"/>
      <c r="C288" s="88"/>
      <c r="D288" s="88"/>
      <c r="E288" s="88"/>
      <c r="F288" s="88"/>
      <c r="G288" s="88"/>
      <c r="H288" s="88"/>
      <c r="I288" s="98"/>
      <c r="J288" s="88"/>
      <c r="K288" s="88"/>
      <c r="L288" s="88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3"/>
      <c r="X288" s="93"/>
      <c r="Y288" s="93"/>
      <c r="Z288" s="92"/>
      <c r="AA288" s="92"/>
      <c r="AB288" s="92"/>
      <c r="AC288" s="92"/>
      <c r="AD288" s="93"/>
      <c r="AE288" s="93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</row>
    <row r="289" spans="1:48" x14ac:dyDescent="0.3">
      <c r="A289" s="97"/>
      <c r="B289" s="88"/>
      <c r="C289" s="88"/>
      <c r="D289" s="88"/>
      <c r="E289" s="88"/>
      <c r="F289" s="88"/>
      <c r="G289" s="88"/>
      <c r="H289" s="88"/>
      <c r="I289" s="98"/>
      <c r="J289" s="88"/>
      <c r="K289" s="88"/>
      <c r="L289" s="88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3"/>
      <c r="X289" s="93"/>
      <c r="Y289" s="93"/>
      <c r="Z289" s="92"/>
      <c r="AA289" s="92"/>
      <c r="AB289" s="92"/>
      <c r="AC289" s="92"/>
      <c r="AD289" s="93"/>
      <c r="AE289" s="93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92"/>
      <c r="AS289" s="92"/>
      <c r="AT289" s="92"/>
      <c r="AU289" s="92"/>
      <c r="AV289" s="92"/>
    </row>
    <row r="290" spans="1:48" x14ac:dyDescent="0.3">
      <c r="A290" s="97"/>
      <c r="B290" s="88"/>
      <c r="C290" s="88"/>
      <c r="D290" s="88"/>
      <c r="E290" s="88"/>
      <c r="F290" s="88"/>
      <c r="G290" s="88"/>
      <c r="H290" s="88"/>
      <c r="I290" s="98"/>
      <c r="J290" s="88"/>
      <c r="K290" s="88"/>
      <c r="L290" s="88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3"/>
      <c r="X290" s="93"/>
      <c r="Y290" s="93"/>
      <c r="Z290" s="92"/>
      <c r="AA290" s="92"/>
      <c r="AB290" s="92"/>
      <c r="AC290" s="92"/>
      <c r="AD290" s="93"/>
      <c r="AE290" s="93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2"/>
      <c r="AT290" s="92"/>
      <c r="AU290" s="92"/>
      <c r="AV290" s="92"/>
    </row>
    <row r="291" spans="1:48" x14ac:dyDescent="0.3">
      <c r="A291" s="97"/>
      <c r="B291" s="88"/>
      <c r="C291" s="88"/>
      <c r="D291" s="88"/>
      <c r="E291" s="88"/>
      <c r="F291" s="88"/>
      <c r="G291" s="88"/>
      <c r="H291" s="88"/>
      <c r="I291" s="98"/>
      <c r="J291" s="88"/>
      <c r="K291" s="88"/>
      <c r="L291" s="88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3"/>
      <c r="AE291" s="93"/>
      <c r="AF291" s="92"/>
      <c r="AG291" s="92"/>
      <c r="AH291" s="92"/>
      <c r="AI291" s="92"/>
      <c r="AJ291" s="92"/>
      <c r="AK291" s="92"/>
      <c r="AL291" s="92"/>
      <c r="AM291" s="92"/>
      <c r="AN291" s="92"/>
      <c r="AO291" s="92"/>
      <c r="AP291" s="92"/>
      <c r="AQ291" s="92"/>
      <c r="AR291" s="92"/>
      <c r="AS291" s="92"/>
      <c r="AT291" s="92"/>
      <c r="AU291" s="92"/>
      <c r="AV291" s="92"/>
    </row>
    <row r="292" spans="1:48" x14ac:dyDescent="0.3">
      <c r="A292" s="97"/>
      <c r="B292" s="88"/>
      <c r="C292" s="88"/>
      <c r="D292" s="88"/>
      <c r="E292" s="88"/>
      <c r="F292" s="88"/>
      <c r="G292" s="88"/>
      <c r="H292" s="88"/>
      <c r="I292" s="98"/>
      <c r="J292" s="88"/>
      <c r="K292" s="88"/>
      <c r="L292" s="88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3"/>
      <c r="X292" s="93"/>
      <c r="Y292" s="93"/>
      <c r="Z292" s="92"/>
      <c r="AA292" s="92"/>
      <c r="AB292" s="92"/>
      <c r="AC292" s="92"/>
      <c r="AD292" s="93"/>
      <c r="AE292" s="93"/>
      <c r="AF292" s="92"/>
      <c r="AG292" s="92"/>
      <c r="AH292" s="92"/>
      <c r="AI292" s="92"/>
      <c r="AJ292" s="92"/>
      <c r="AK292" s="92"/>
      <c r="AL292" s="92"/>
      <c r="AM292" s="92"/>
      <c r="AN292" s="92"/>
      <c r="AO292" s="92"/>
      <c r="AP292" s="92"/>
      <c r="AQ292" s="92"/>
      <c r="AR292" s="92"/>
      <c r="AS292" s="92"/>
      <c r="AT292" s="92"/>
      <c r="AU292" s="92"/>
      <c r="AV292" s="92"/>
    </row>
    <row r="293" spans="1:48" x14ac:dyDescent="0.3">
      <c r="A293" s="97"/>
      <c r="B293" s="88"/>
      <c r="C293" s="88"/>
      <c r="D293" s="88"/>
      <c r="E293" s="88"/>
      <c r="F293" s="88"/>
      <c r="G293" s="88"/>
      <c r="H293" s="88"/>
      <c r="I293" s="98"/>
      <c r="J293" s="88"/>
      <c r="K293" s="88"/>
      <c r="L293" s="88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3"/>
      <c r="X293" s="93"/>
      <c r="Y293" s="93"/>
      <c r="Z293" s="92"/>
      <c r="AA293" s="92"/>
      <c r="AB293" s="92"/>
      <c r="AC293" s="92"/>
      <c r="AD293" s="93"/>
      <c r="AE293" s="93"/>
      <c r="AF293" s="92"/>
      <c r="AG293" s="92"/>
      <c r="AH293" s="92"/>
      <c r="AI293" s="92"/>
      <c r="AJ293" s="92"/>
      <c r="AK293" s="92"/>
      <c r="AL293" s="92"/>
      <c r="AM293" s="92"/>
      <c r="AN293" s="92"/>
      <c r="AO293" s="92"/>
      <c r="AP293" s="92"/>
      <c r="AQ293" s="92"/>
      <c r="AR293" s="92"/>
      <c r="AS293" s="92"/>
      <c r="AT293" s="92"/>
      <c r="AU293" s="92"/>
      <c r="AV293" s="92"/>
    </row>
    <row r="294" spans="1:48" x14ac:dyDescent="0.3">
      <c r="A294" s="97"/>
      <c r="B294" s="88"/>
      <c r="C294" s="88"/>
      <c r="D294" s="88"/>
      <c r="E294" s="88"/>
      <c r="F294" s="88"/>
      <c r="G294" s="88"/>
      <c r="H294" s="88"/>
      <c r="I294" s="98"/>
      <c r="J294" s="88"/>
      <c r="K294" s="88"/>
      <c r="L294" s="88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  <c r="AD294" s="93"/>
      <c r="AE294" s="93"/>
      <c r="AF294" s="92"/>
      <c r="AG294" s="92"/>
      <c r="AH294" s="92"/>
      <c r="AI294" s="92"/>
      <c r="AJ294" s="92"/>
      <c r="AK294" s="92"/>
      <c r="AL294" s="92"/>
      <c r="AM294" s="92"/>
      <c r="AN294" s="92"/>
      <c r="AO294" s="92"/>
      <c r="AP294" s="92"/>
      <c r="AQ294" s="92"/>
      <c r="AR294" s="92"/>
      <c r="AS294" s="92"/>
      <c r="AT294" s="92"/>
      <c r="AU294" s="92"/>
      <c r="AV294" s="92"/>
    </row>
    <row r="295" spans="1:48" x14ac:dyDescent="0.3">
      <c r="A295" s="97"/>
      <c r="B295" s="88"/>
      <c r="C295" s="88"/>
      <c r="D295" s="88"/>
      <c r="E295" s="88"/>
      <c r="F295" s="88"/>
      <c r="G295" s="88"/>
      <c r="H295" s="88"/>
      <c r="I295" s="98"/>
      <c r="J295" s="88"/>
      <c r="K295" s="88"/>
      <c r="L295" s="88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3"/>
      <c r="X295" s="93"/>
      <c r="Y295" s="93"/>
      <c r="Z295" s="92"/>
      <c r="AA295" s="92"/>
      <c r="AB295" s="92"/>
      <c r="AC295" s="92"/>
      <c r="AD295" s="93"/>
      <c r="AE295" s="93"/>
      <c r="AF295" s="92"/>
      <c r="AG295" s="92"/>
      <c r="AH295" s="92"/>
      <c r="AI295" s="92"/>
      <c r="AJ295" s="92"/>
      <c r="AK295" s="92"/>
      <c r="AL295" s="92"/>
      <c r="AM295" s="92"/>
      <c r="AN295" s="92"/>
      <c r="AO295" s="92"/>
      <c r="AP295" s="92"/>
      <c r="AQ295" s="92"/>
      <c r="AR295" s="92"/>
      <c r="AS295" s="92"/>
      <c r="AT295" s="92"/>
      <c r="AU295" s="92"/>
      <c r="AV295" s="92"/>
    </row>
    <row r="296" spans="1:48" x14ac:dyDescent="0.3">
      <c r="A296" s="97"/>
      <c r="B296" s="88"/>
      <c r="C296" s="88"/>
      <c r="D296" s="88"/>
      <c r="E296" s="88"/>
      <c r="F296" s="88"/>
      <c r="G296" s="88"/>
      <c r="H296" s="88"/>
      <c r="I296" s="98"/>
      <c r="J296" s="88"/>
      <c r="K296" s="88"/>
      <c r="L296" s="88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3"/>
      <c r="X296" s="93"/>
      <c r="Y296" s="93"/>
      <c r="Z296" s="92"/>
      <c r="AA296" s="92"/>
      <c r="AB296" s="92"/>
      <c r="AC296" s="92"/>
      <c r="AD296" s="93"/>
      <c r="AE296" s="93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</row>
    <row r="297" spans="1:48" x14ac:dyDescent="0.3">
      <c r="A297" s="97"/>
      <c r="B297" s="88"/>
      <c r="C297" s="88"/>
      <c r="D297" s="88"/>
      <c r="E297" s="88"/>
      <c r="F297" s="88"/>
      <c r="G297" s="88"/>
      <c r="H297" s="88"/>
      <c r="I297" s="98"/>
      <c r="J297" s="88"/>
      <c r="K297" s="88"/>
      <c r="L297" s="88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  <c r="AB297" s="92"/>
      <c r="AC297" s="92"/>
      <c r="AD297" s="93"/>
      <c r="AE297" s="93"/>
      <c r="AF297" s="92"/>
      <c r="AG297" s="92"/>
      <c r="AH297" s="92"/>
      <c r="AI297" s="92"/>
      <c r="AJ297" s="92"/>
      <c r="AK297" s="92"/>
      <c r="AL297" s="92"/>
      <c r="AM297" s="92"/>
      <c r="AN297" s="92"/>
      <c r="AO297" s="92"/>
      <c r="AP297" s="92"/>
      <c r="AQ297" s="92"/>
      <c r="AR297" s="92"/>
      <c r="AS297" s="92"/>
      <c r="AT297" s="92"/>
      <c r="AU297" s="92"/>
      <c r="AV297" s="92"/>
    </row>
    <row r="298" spans="1:48" x14ac:dyDescent="0.3">
      <c r="A298" s="97"/>
      <c r="B298" s="88"/>
      <c r="C298" s="88"/>
      <c r="D298" s="88"/>
      <c r="E298" s="88"/>
      <c r="F298" s="88"/>
      <c r="G298" s="88"/>
      <c r="H298" s="88"/>
      <c r="I298" s="98"/>
      <c r="J298" s="88"/>
      <c r="K298" s="88"/>
      <c r="L298" s="88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3"/>
      <c r="X298" s="93"/>
      <c r="Y298" s="93"/>
      <c r="Z298" s="92"/>
      <c r="AA298" s="92"/>
      <c r="AB298" s="92"/>
      <c r="AC298" s="92"/>
      <c r="AD298" s="93"/>
      <c r="AE298" s="93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</row>
    <row r="299" spans="1:48" x14ac:dyDescent="0.3">
      <c r="A299" s="97"/>
      <c r="B299" s="88"/>
      <c r="C299" s="88"/>
      <c r="D299" s="88"/>
      <c r="E299" s="88"/>
      <c r="F299" s="88"/>
      <c r="G299" s="88"/>
      <c r="H299" s="88"/>
      <c r="I299" s="98"/>
      <c r="J299" s="88"/>
      <c r="K299" s="88"/>
      <c r="L299" s="88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/>
      <c r="AB299" s="92"/>
      <c r="AC299" s="92"/>
      <c r="AD299" s="93"/>
      <c r="AE299" s="93"/>
      <c r="AF299" s="92"/>
      <c r="AG299" s="92"/>
      <c r="AH299" s="92"/>
      <c r="AI299" s="92"/>
      <c r="AJ299" s="92"/>
      <c r="AK299" s="92"/>
      <c r="AL299" s="92"/>
      <c r="AM299" s="92"/>
      <c r="AN299" s="92"/>
      <c r="AO299" s="92"/>
      <c r="AP299" s="92"/>
      <c r="AQ299" s="92"/>
      <c r="AR299" s="92"/>
      <c r="AS299" s="92"/>
      <c r="AT299" s="92"/>
      <c r="AU299" s="92"/>
      <c r="AV299" s="92"/>
    </row>
    <row r="300" spans="1:48" x14ac:dyDescent="0.3">
      <c r="A300" s="92"/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3"/>
      <c r="X300" s="93"/>
      <c r="Y300" s="93"/>
      <c r="Z300" s="92"/>
      <c r="AA300" s="92"/>
      <c r="AB300" s="92"/>
      <c r="AC300" s="92"/>
      <c r="AD300" s="93"/>
      <c r="AE300" s="93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2"/>
      <c r="AT300" s="92"/>
      <c r="AU300" s="92"/>
      <c r="AV300" s="92"/>
    </row>
    <row r="301" spans="1:48" x14ac:dyDescent="0.3">
      <c r="A301" s="92"/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3"/>
      <c r="AE301" s="93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2"/>
      <c r="AT301" s="92"/>
      <c r="AU301" s="92"/>
      <c r="AV301" s="92"/>
    </row>
    <row r="302" spans="1:48" x14ac:dyDescent="0.3">
      <c r="A302" s="92"/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3"/>
      <c r="AE302" s="93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2"/>
      <c r="AT302" s="92"/>
      <c r="AU302" s="92"/>
      <c r="AV302" s="92"/>
    </row>
    <row r="303" spans="1:48" x14ac:dyDescent="0.3">
      <c r="A303" s="92"/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3"/>
      <c r="X303" s="93"/>
      <c r="Y303" s="93"/>
      <c r="Z303" s="92"/>
      <c r="AA303" s="92"/>
      <c r="AB303" s="92"/>
      <c r="AC303" s="92"/>
      <c r="AD303" s="93"/>
      <c r="AE303" s="93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2"/>
      <c r="AT303" s="92"/>
      <c r="AU303" s="92"/>
      <c r="AV303" s="92"/>
    </row>
    <row r="304" spans="1:48" x14ac:dyDescent="0.3">
      <c r="A304" s="92"/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3"/>
      <c r="AE304" s="93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2"/>
      <c r="AT304" s="92"/>
      <c r="AU304" s="92"/>
      <c r="AV304" s="92"/>
    </row>
    <row r="305" spans="1:48" x14ac:dyDescent="0.3">
      <c r="A305" s="92"/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3"/>
      <c r="X305" s="93"/>
      <c r="Y305" s="93"/>
      <c r="Z305" s="92"/>
      <c r="AA305" s="92"/>
      <c r="AB305" s="92"/>
      <c r="AC305" s="92"/>
      <c r="AD305" s="93"/>
      <c r="AE305" s="93"/>
      <c r="AF305" s="92"/>
      <c r="AG305" s="92"/>
      <c r="AH305" s="92"/>
      <c r="AI305" s="92"/>
      <c r="AJ305" s="92"/>
      <c r="AK305" s="92"/>
      <c r="AL305" s="92"/>
      <c r="AM305" s="92"/>
      <c r="AN305" s="92"/>
      <c r="AO305" s="92"/>
      <c r="AP305" s="92"/>
      <c r="AQ305" s="92"/>
      <c r="AR305" s="92"/>
      <c r="AS305" s="92"/>
      <c r="AT305" s="92"/>
      <c r="AU305" s="92"/>
      <c r="AV305" s="92"/>
    </row>
    <row r="306" spans="1:48" x14ac:dyDescent="0.3">
      <c r="A306" s="92"/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  <c r="AB306" s="92"/>
      <c r="AC306" s="92"/>
      <c r="AD306" s="93"/>
      <c r="AE306" s="93"/>
      <c r="AF306" s="92"/>
      <c r="AG306" s="92"/>
      <c r="AH306" s="92"/>
      <c r="AI306" s="92"/>
      <c r="AJ306" s="92"/>
      <c r="AK306" s="92"/>
      <c r="AL306" s="92"/>
      <c r="AM306" s="92"/>
      <c r="AN306" s="92"/>
      <c r="AO306" s="92"/>
      <c r="AP306" s="92"/>
      <c r="AQ306" s="92"/>
      <c r="AR306" s="92"/>
      <c r="AS306" s="92"/>
      <c r="AT306" s="92"/>
      <c r="AU306" s="92"/>
      <c r="AV306" s="92"/>
    </row>
    <row r="307" spans="1:48" x14ac:dyDescent="0.3">
      <c r="A307" s="92"/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  <c r="AA307" s="92"/>
      <c r="AB307" s="92"/>
      <c r="AC307" s="92"/>
      <c r="AD307" s="93"/>
      <c r="AE307" s="93"/>
      <c r="AF307" s="92"/>
      <c r="AG307" s="92"/>
      <c r="AH307" s="92"/>
      <c r="AI307" s="92"/>
      <c r="AJ307" s="92"/>
      <c r="AK307" s="92"/>
      <c r="AL307" s="92"/>
      <c r="AM307" s="92"/>
      <c r="AN307" s="92"/>
      <c r="AO307" s="92"/>
      <c r="AP307" s="92"/>
      <c r="AQ307" s="92"/>
      <c r="AR307" s="92"/>
      <c r="AS307" s="92"/>
      <c r="AT307" s="92"/>
      <c r="AU307" s="92"/>
      <c r="AV307" s="92"/>
    </row>
    <row r="308" spans="1:48" x14ac:dyDescent="0.3">
      <c r="A308" s="92"/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/>
      <c r="AB308" s="92"/>
      <c r="AC308" s="92"/>
      <c r="AD308" s="93"/>
      <c r="AE308" s="93"/>
      <c r="AF308" s="92"/>
      <c r="AG308" s="92"/>
      <c r="AH308" s="92"/>
      <c r="AI308" s="92"/>
      <c r="AJ308" s="92"/>
      <c r="AK308" s="92"/>
      <c r="AL308" s="92"/>
      <c r="AM308" s="92"/>
      <c r="AN308" s="92"/>
      <c r="AO308" s="92"/>
      <c r="AP308" s="92"/>
      <c r="AQ308" s="92"/>
      <c r="AR308" s="92"/>
      <c r="AS308" s="92"/>
      <c r="AT308" s="92"/>
      <c r="AU308" s="92"/>
      <c r="AV308" s="92"/>
    </row>
    <row r="309" spans="1:48" x14ac:dyDescent="0.3">
      <c r="A309" s="92"/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  <c r="AB309" s="92"/>
      <c r="AC309" s="92"/>
      <c r="AD309" s="93"/>
      <c r="AE309" s="93"/>
      <c r="AF309" s="92"/>
      <c r="AG309" s="92"/>
      <c r="AH309" s="92"/>
      <c r="AI309" s="92"/>
      <c r="AJ309" s="92"/>
      <c r="AK309" s="92"/>
      <c r="AL309" s="92"/>
      <c r="AM309" s="92"/>
      <c r="AN309" s="92"/>
      <c r="AO309" s="92"/>
      <c r="AP309" s="92"/>
      <c r="AQ309" s="92"/>
      <c r="AR309" s="92"/>
      <c r="AS309" s="92"/>
      <c r="AT309" s="92"/>
      <c r="AU309" s="92"/>
      <c r="AV309" s="92"/>
    </row>
    <row r="310" spans="1:48" x14ac:dyDescent="0.3">
      <c r="A310" s="92"/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  <c r="AB310" s="92"/>
      <c r="AC310" s="92"/>
      <c r="AD310" s="93"/>
      <c r="AE310" s="93"/>
      <c r="AF310" s="92"/>
      <c r="AG310" s="92"/>
      <c r="AH310" s="92"/>
      <c r="AI310" s="92"/>
      <c r="AJ310" s="92"/>
      <c r="AK310" s="92"/>
      <c r="AL310" s="92"/>
      <c r="AM310" s="92"/>
      <c r="AN310" s="92"/>
      <c r="AO310" s="92"/>
      <c r="AP310" s="92"/>
      <c r="AQ310" s="92"/>
      <c r="AR310" s="92"/>
      <c r="AS310" s="92"/>
      <c r="AT310" s="92"/>
      <c r="AU310" s="92"/>
      <c r="AV310" s="92"/>
    </row>
    <row r="311" spans="1:48" x14ac:dyDescent="0.3">
      <c r="A311" s="92"/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  <c r="AB311" s="92"/>
      <c r="AC311" s="92"/>
      <c r="AD311" s="93"/>
      <c r="AE311" s="93"/>
      <c r="AF311" s="92"/>
      <c r="AG311" s="92"/>
      <c r="AH311" s="92"/>
      <c r="AI311" s="92"/>
      <c r="AJ311" s="92"/>
      <c r="AK311" s="92"/>
      <c r="AL311" s="92"/>
      <c r="AM311" s="92"/>
      <c r="AN311" s="92"/>
      <c r="AO311" s="92"/>
      <c r="AP311" s="92"/>
      <c r="AQ311" s="92"/>
      <c r="AR311" s="92"/>
      <c r="AS311" s="92"/>
      <c r="AT311" s="92"/>
      <c r="AU311" s="92"/>
      <c r="AV311" s="92"/>
    </row>
    <row r="312" spans="1:48" x14ac:dyDescent="0.3">
      <c r="A312" s="92"/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  <c r="AB312" s="92"/>
      <c r="AC312" s="92"/>
      <c r="AD312" s="93"/>
      <c r="AE312" s="93"/>
      <c r="AF312" s="92"/>
      <c r="AG312" s="92"/>
      <c r="AH312" s="92"/>
      <c r="AI312" s="92"/>
      <c r="AJ312" s="92"/>
      <c r="AK312" s="92"/>
      <c r="AL312" s="92"/>
      <c r="AM312" s="92"/>
      <c r="AN312" s="92"/>
      <c r="AO312" s="92"/>
      <c r="AP312" s="92"/>
      <c r="AQ312" s="92"/>
      <c r="AR312" s="92"/>
      <c r="AS312" s="92"/>
      <c r="AT312" s="92"/>
      <c r="AU312" s="92"/>
      <c r="AV312" s="92"/>
    </row>
    <row r="313" spans="1:48" x14ac:dyDescent="0.3">
      <c r="A313" s="92"/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  <c r="AA313" s="92"/>
      <c r="AB313" s="92"/>
      <c r="AC313" s="92"/>
      <c r="AD313" s="93"/>
      <c r="AE313" s="93"/>
      <c r="AF313" s="92"/>
      <c r="AG313" s="92"/>
      <c r="AH313" s="92"/>
      <c r="AI313" s="92"/>
      <c r="AJ313" s="92"/>
      <c r="AK313" s="92"/>
      <c r="AL313" s="92"/>
      <c r="AM313" s="92"/>
      <c r="AN313" s="92"/>
      <c r="AO313" s="92"/>
      <c r="AP313" s="92"/>
      <c r="AQ313" s="92"/>
      <c r="AR313" s="92"/>
      <c r="AS313" s="92"/>
      <c r="AT313" s="92"/>
      <c r="AU313" s="92"/>
      <c r="AV313" s="92"/>
    </row>
    <row r="314" spans="1:48" x14ac:dyDescent="0.3">
      <c r="A314" s="92"/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  <c r="AD314" s="93"/>
      <c r="AE314" s="93"/>
      <c r="AF314" s="92"/>
      <c r="AG314" s="92"/>
      <c r="AH314" s="92"/>
      <c r="AI314" s="92"/>
      <c r="AJ314" s="92"/>
      <c r="AK314" s="92"/>
      <c r="AL314" s="92"/>
      <c r="AM314" s="92"/>
      <c r="AN314" s="92"/>
      <c r="AO314" s="92"/>
      <c r="AP314" s="92"/>
      <c r="AQ314" s="92"/>
      <c r="AR314" s="92"/>
      <c r="AS314" s="92"/>
      <c r="AT314" s="92"/>
      <c r="AU314" s="92"/>
      <c r="AV314" s="92"/>
    </row>
    <row r="315" spans="1:48" x14ac:dyDescent="0.3">
      <c r="A315" s="92"/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3"/>
      <c r="AE315" s="93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  <c r="AV315" s="92"/>
    </row>
    <row r="316" spans="1:48" x14ac:dyDescent="0.3">
      <c r="A316" s="92"/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  <c r="AB316" s="92"/>
      <c r="AC316" s="92"/>
      <c r="AD316" s="93"/>
      <c r="AE316" s="93"/>
      <c r="AF316" s="92"/>
      <c r="AG316" s="92"/>
      <c r="AH316" s="92"/>
      <c r="AI316" s="92"/>
      <c r="AJ316" s="92"/>
      <c r="AK316" s="92"/>
      <c r="AL316" s="92"/>
      <c r="AM316" s="92"/>
      <c r="AN316" s="92"/>
      <c r="AO316" s="92"/>
      <c r="AP316" s="92"/>
      <c r="AQ316" s="92"/>
      <c r="AR316" s="92"/>
      <c r="AS316" s="92"/>
      <c r="AT316" s="92"/>
      <c r="AU316" s="92"/>
      <c r="AV316" s="92"/>
    </row>
    <row r="317" spans="1:48" x14ac:dyDescent="0.3">
      <c r="A317" s="92"/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  <c r="AD317" s="93"/>
      <c r="AE317" s="93"/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2"/>
      <c r="AT317" s="92"/>
      <c r="AU317" s="92"/>
      <c r="AV317" s="92"/>
    </row>
    <row r="318" spans="1:48" x14ac:dyDescent="0.3">
      <c r="A318" s="92"/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  <c r="AB318" s="92"/>
      <c r="AC318" s="92"/>
      <c r="AD318" s="93"/>
      <c r="AE318" s="93"/>
      <c r="AF318" s="92"/>
      <c r="AG318" s="92"/>
      <c r="AH318" s="92"/>
      <c r="AI318" s="92"/>
      <c r="AJ318" s="92"/>
      <c r="AK318" s="92"/>
      <c r="AL318" s="92"/>
      <c r="AM318" s="92"/>
      <c r="AN318" s="92"/>
      <c r="AO318" s="92"/>
      <c r="AP318" s="92"/>
      <c r="AQ318" s="92"/>
      <c r="AR318" s="92"/>
      <c r="AS318" s="92"/>
      <c r="AT318" s="92"/>
      <c r="AU318" s="92"/>
      <c r="AV318" s="92"/>
    </row>
    <row r="319" spans="1:48" x14ac:dyDescent="0.3">
      <c r="A319" s="92"/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  <c r="AB319" s="92"/>
      <c r="AC319" s="92"/>
      <c r="AD319" s="93"/>
      <c r="AE319" s="93"/>
      <c r="AF319" s="92"/>
      <c r="AG319" s="92"/>
      <c r="AH319" s="92"/>
      <c r="AI319" s="92"/>
      <c r="AJ319" s="92"/>
      <c r="AK319" s="92"/>
      <c r="AL319" s="92"/>
      <c r="AM319" s="92"/>
      <c r="AN319" s="92"/>
      <c r="AO319" s="92"/>
      <c r="AP319" s="92"/>
      <c r="AQ319" s="92"/>
      <c r="AR319" s="92"/>
      <c r="AS319" s="92"/>
      <c r="AT319" s="92"/>
      <c r="AU319" s="92"/>
      <c r="AV319" s="92"/>
    </row>
    <row r="320" spans="1:48" x14ac:dyDescent="0.3">
      <c r="A320" s="92"/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3"/>
      <c r="AE320" s="93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</row>
    <row r="321" spans="1:48" x14ac:dyDescent="0.3">
      <c r="A321" s="92"/>
      <c r="B321" s="92"/>
      <c r="C321" s="92"/>
      <c r="D321" s="92"/>
      <c r="E321" s="92"/>
      <c r="F321" s="92"/>
      <c r="G321" s="92"/>
      <c r="H321" s="92"/>
      <c r="I321" s="92"/>
      <c r="J321" s="91"/>
      <c r="K321" s="92"/>
      <c r="L321" s="92"/>
      <c r="M321" s="91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  <c r="AB321" s="92"/>
      <c r="AC321" s="92"/>
      <c r="AD321" s="93"/>
      <c r="AE321" s="93"/>
      <c r="AF321" s="92"/>
      <c r="AG321" s="92"/>
      <c r="AH321" s="92"/>
      <c r="AI321" s="92"/>
      <c r="AJ321" s="92"/>
      <c r="AK321" s="92"/>
      <c r="AL321" s="92"/>
      <c r="AM321" s="92"/>
      <c r="AN321" s="92"/>
      <c r="AO321" s="92"/>
      <c r="AP321" s="92"/>
      <c r="AQ321" s="92"/>
      <c r="AR321" s="92"/>
      <c r="AS321" s="92"/>
      <c r="AT321" s="92"/>
      <c r="AU321" s="92"/>
      <c r="AV321" s="92"/>
    </row>
    <row r="322" spans="1:48" x14ac:dyDescent="0.3">
      <c r="A322" s="92"/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  <c r="AA322" s="92"/>
      <c r="AB322" s="92"/>
      <c r="AC322" s="92"/>
      <c r="AD322" s="93"/>
      <c r="AE322" s="93"/>
      <c r="AF322" s="92"/>
      <c r="AG322" s="92"/>
      <c r="AH322" s="92"/>
      <c r="AI322" s="92"/>
      <c r="AJ322" s="92"/>
      <c r="AK322" s="92"/>
      <c r="AL322" s="92"/>
      <c r="AM322" s="92"/>
      <c r="AN322" s="92"/>
      <c r="AO322" s="92"/>
      <c r="AP322" s="92"/>
      <c r="AQ322" s="92"/>
      <c r="AR322" s="92"/>
      <c r="AS322" s="92"/>
      <c r="AT322" s="92"/>
      <c r="AU322" s="92"/>
      <c r="AV322" s="92"/>
    </row>
    <row r="323" spans="1:48" x14ac:dyDescent="0.3">
      <c r="A323" s="92"/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  <c r="AA323" s="92"/>
      <c r="AB323" s="92"/>
      <c r="AC323" s="92"/>
      <c r="AD323" s="93"/>
      <c r="AE323" s="93"/>
      <c r="AF323" s="92"/>
      <c r="AG323" s="92"/>
      <c r="AH323" s="92"/>
      <c r="AI323" s="92"/>
      <c r="AJ323" s="92"/>
      <c r="AK323" s="92"/>
      <c r="AL323" s="92"/>
      <c r="AM323" s="92"/>
      <c r="AN323" s="92"/>
      <c r="AO323" s="92"/>
      <c r="AP323" s="92"/>
      <c r="AQ323" s="92"/>
      <c r="AR323" s="92"/>
      <c r="AS323" s="92"/>
      <c r="AT323" s="92"/>
      <c r="AU323" s="92"/>
      <c r="AV323" s="92"/>
    </row>
    <row r="324" spans="1:48" x14ac:dyDescent="0.3">
      <c r="A324" s="92"/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/>
      <c r="AB324" s="92"/>
      <c r="AC324" s="92"/>
      <c r="AD324" s="93"/>
      <c r="AE324" s="93"/>
      <c r="AF324" s="92"/>
      <c r="AG324" s="92"/>
      <c r="AH324" s="92"/>
      <c r="AI324" s="92"/>
      <c r="AJ324" s="92"/>
      <c r="AK324" s="92"/>
      <c r="AL324" s="92"/>
      <c r="AM324" s="92"/>
      <c r="AN324" s="92"/>
      <c r="AO324" s="92"/>
      <c r="AP324" s="92"/>
      <c r="AQ324" s="92"/>
      <c r="AR324" s="92"/>
      <c r="AS324" s="92"/>
      <c r="AT324" s="92"/>
      <c r="AU324" s="92"/>
      <c r="AV324" s="92"/>
    </row>
    <row r="325" spans="1:48" x14ac:dyDescent="0.3">
      <c r="A325" s="92"/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/>
      <c r="AB325" s="92"/>
      <c r="AC325" s="92"/>
      <c r="AD325" s="93"/>
      <c r="AE325" s="93"/>
      <c r="AF325" s="92"/>
      <c r="AG325" s="92"/>
      <c r="AH325" s="92"/>
      <c r="AI325" s="92"/>
      <c r="AJ325" s="92"/>
      <c r="AK325" s="92"/>
      <c r="AL325" s="92"/>
      <c r="AM325" s="92"/>
      <c r="AN325" s="92"/>
      <c r="AO325" s="92"/>
      <c r="AP325" s="92"/>
      <c r="AQ325" s="92"/>
      <c r="AR325" s="92"/>
      <c r="AS325" s="92"/>
      <c r="AT325" s="92"/>
      <c r="AU325" s="92"/>
      <c r="AV325" s="92"/>
    </row>
    <row r="326" spans="1:48" x14ac:dyDescent="0.3">
      <c r="A326" s="92"/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/>
      <c r="AB326" s="92"/>
      <c r="AC326" s="92"/>
      <c r="AD326" s="93"/>
      <c r="AE326" s="93"/>
      <c r="AF326" s="92"/>
      <c r="AG326" s="92"/>
      <c r="AH326" s="92"/>
      <c r="AI326" s="92"/>
      <c r="AJ326" s="92"/>
      <c r="AK326" s="92"/>
      <c r="AL326" s="92"/>
      <c r="AM326" s="92"/>
      <c r="AN326" s="92"/>
      <c r="AO326" s="92"/>
      <c r="AP326" s="92"/>
      <c r="AQ326" s="92"/>
      <c r="AR326" s="92"/>
      <c r="AS326" s="92"/>
      <c r="AT326" s="92"/>
      <c r="AU326" s="92"/>
      <c r="AV326" s="92"/>
    </row>
    <row r="327" spans="1:48" x14ac:dyDescent="0.3">
      <c r="A327" s="92"/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92"/>
      <c r="AD327" s="93"/>
      <c r="AE327" s="93"/>
      <c r="AF327" s="92"/>
      <c r="AG327" s="92"/>
      <c r="AH327" s="92"/>
      <c r="AI327" s="92"/>
      <c r="AJ327" s="92"/>
      <c r="AK327" s="92"/>
      <c r="AL327" s="92"/>
      <c r="AM327" s="92"/>
      <c r="AN327" s="92"/>
      <c r="AO327" s="92"/>
      <c r="AP327" s="92"/>
      <c r="AQ327" s="92"/>
      <c r="AR327" s="92"/>
      <c r="AS327" s="92"/>
      <c r="AT327" s="92"/>
      <c r="AU327" s="92"/>
      <c r="AV327" s="92"/>
    </row>
    <row r="328" spans="1:48" x14ac:dyDescent="0.3">
      <c r="A328" s="92"/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/>
      <c r="AB328" s="92"/>
      <c r="AC328" s="92"/>
      <c r="AD328" s="93"/>
      <c r="AE328" s="93"/>
      <c r="AF328" s="92"/>
      <c r="AG328" s="92"/>
      <c r="AH328" s="92"/>
      <c r="AI328" s="92"/>
      <c r="AJ328" s="92"/>
      <c r="AK328" s="92"/>
      <c r="AL328" s="92"/>
      <c r="AM328" s="92"/>
      <c r="AN328" s="92"/>
      <c r="AO328" s="92"/>
      <c r="AP328" s="92"/>
      <c r="AQ328" s="92"/>
      <c r="AR328" s="92"/>
      <c r="AS328" s="92"/>
      <c r="AT328" s="92"/>
      <c r="AU328" s="92"/>
      <c r="AV328" s="92"/>
    </row>
    <row r="329" spans="1:48" x14ac:dyDescent="0.3">
      <c r="A329" s="92"/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/>
      <c r="AB329" s="92"/>
      <c r="AC329" s="92"/>
      <c r="AD329" s="93"/>
      <c r="AE329" s="93"/>
      <c r="AF329" s="92"/>
      <c r="AG329" s="92"/>
      <c r="AH329" s="92"/>
      <c r="AI329" s="92"/>
      <c r="AJ329" s="92"/>
      <c r="AK329" s="92"/>
      <c r="AL329" s="92"/>
      <c r="AM329" s="92"/>
      <c r="AN329" s="92"/>
      <c r="AO329" s="92"/>
      <c r="AP329" s="92"/>
      <c r="AQ329" s="92"/>
      <c r="AR329" s="92"/>
      <c r="AS329" s="92"/>
      <c r="AT329" s="92"/>
      <c r="AU329" s="92"/>
      <c r="AV329" s="92"/>
    </row>
    <row r="330" spans="1:48" x14ac:dyDescent="0.3">
      <c r="A330" s="92"/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  <c r="AB330" s="92"/>
      <c r="AC330" s="92"/>
      <c r="AD330" s="93"/>
      <c r="AE330" s="93"/>
      <c r="AF330" s="92"/>
      <c r="AG330" s="92"/>
      <c r="AH330" s="92"/>
      <c r="AI330" s="92"/>
      <c r="AJ330" s="92"/>
      <c r="AK330" s="92"/>
      <c r="AL330" s="92"/>
      <c r="AM330" s="92"/>
      <c r="AN330" s="92"/>
      <c r="AO330" s="92"/>
      <c r="AP330" s="92"/>
      <c r="AQ330" s="92"/>
      <c r="AR330" s="92"/>
      <c r="AS330" s="92"/>
      <c r="AT330" s="92"/>
      <c r="AU330" s="92"/>
      <c r="AV330" s="92"/>
    </row>
    <row r="331" spans="1:48" x14ac:dyDescent="0.3">
      <c r="A331" s="92"/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/>
      <c r="AB331" s="92"/>
      <c r="AC331" s="92"/>
      <c r="AD331" s="93"/>
      <c r="AE331" s="93"/>
      <c r="AF331" s="92"/>
      <c r="AG331" s="92"/>
      <c r="AH331" s="92"/>
      <c r="AI331" s="92"/>
      <c r="AJ331" s="92"/>
      <c r="AK331" s="92"/>
      <c r="AL331" s="92"/>
      <c r="AM331" s="92"/>
      <c r="AN331" s="92"/>
      <c r="AO331" s="92"/>
      <c r="AP331" s="92"/>
      <c r="AQ331" s="92"/>
      <c r="AR331" s="92"/>
      <c r="AS331" s="92"/>
      <c r="AT331" s="92"/>
      <c r="AU331" s="92"/>
      <c r="AV331" s="92"/>
    </row>
    <row r="332" spans="1:48" x14ac:dyDescent="0.3">
      <c r="A332" s="92"/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  <c r="AB332" s="92"/>
      <c r="AC332" s="92"/>
      <c r="AD332" s="93"/>
      <c r="AE332" s="93"/>
      <c r="AF332" s="92"/>
      <c r="AG332" s="92"/>
      <c r="AH332" s="92"/>
      <c r="AI332" s="92"/>
      <c r="AJ332" s="92"/>
      <c r="AK332" s="92"/>
      <c r="AL332" s="92"/>
      <c r="AM332" s="92"/>
      <c r="AN332" s="92"/>
      <c r="AO332" s="92"/>
      <c r="AP332" s="92"/>
      <c r="AQ332" s="92"/>
      <c r="AR332" s="92"/>
      <c r="AS332" s="92"/>
      <c r="AT332" s="92"/>
      <c r="AU332" s="92"/>
      <c r="AV332" s="92"/>
    </row>
    <row r="333" spans="1:48" x14ac:dyDescent="0.3">
      <c r="A333" s="92"/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  <c r="AA333" s="92"/>
      <c r="AB333" s="92"/>
      <c r="AC333" s="92"/>
      <c r="AD333" s="93"/>
      <c r="AE333" s="93"/>
      <c r="AF333" s="92"/>
      <c r="AG333" s="92"/>
      <c r="AH333" s="92"/>
      <c r="AI333" s="92"/>
      <c r="AJ333" s="92"/>
      <c r="AK333" s="92"/>
      <c r="AL333" s="92"/>
      <c r="AM333" s="92"/>
      <c r="AN333" s="92"/>
      <c r="AO333" s="92"/>
      <c r="AP333" s="92"/>
      <c r="AQ333" s="92"/>
      <c r="AR333" s="92"/>
      <c r="AS333" s="92"/>
      <c r="AT333" s="92"/>
      <c r="AU333" s="92"/>
      <c r="AV333" s="92"/>
    </row>
    <row r="334" spans="1:48" x14ac:dyDescent="0.3">
      <c r="A334" s="92"/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  <c r="AA334" s="92"/>
      <c r="AB334" s="92"/>
      <c r="AC334" s="92"/>
      <c r="AD334" s="93"/>
      <c r="AE334" s="93"/>
      <c r="AF334" s="92"/>
      <c r="AG334" s="92"/>
      <c r="AH334" s="92"/>
      <c r="AI334" s="92"/>
      <c r="AJ334" s="92"/>
      <c r="AK334" s="92"/>
      <c r="AL334" s="92"/>
      <c r="AM334" s="92"/>
      <c r="AN334" s="92"/>
      <c r="AO334" s="92"/>
      <c r="AP334" s="92"/>
      <c r="AQ334" s="92"/>
      <c r="AR334" s="92"/>
      <c r="AS334" s="92"/>
      <c r="AT334" s="92"/>
      <c r="AU334" s="92"/>
      <c r="AV334" s="92"/>
    </row>
    <row r="335" spans="1:48" x14ac:dyDescent="0.3">
      <c r="A335" s="92"/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  <c r="AA335" s="92"/>
      <c r="AB335" s="92"/>
      <c r="AC335" s="92"/>
      <c r="AD335" s="93"/>
      <c r="AE335" s="93"/>
      <c r="AF335" s="92"/>
      <c r="AG335" s="92"/>
      <c r="AH335" s="92"/>
      <c r="AI335" s="92"/>
      <c r="AJ335" s="92"/>
      <c r="AK335" s="92"/>
      <c r="AL335" s="92"/>
      <c r="AM335" s="92"/>
      <c r="AN335" s="92"/>
      <c r="AO335" s="92"/>
      <c r="AP335" s="92"/>
      <c r="AQ335" s="92"/>
      <c r="AR335" s="92"/>
      <c r="AS335" s="92"/>
      <c r="AT335" s="92"/>
      <c r="AU335" s="92"/>
      <c r="AV335" s="92"/>
    </row>
    <row r="336" spans="1:48" x14ac:dyDescent="0.3">
      <c r="A336" s="92"/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/>
      <c r="AB336" s="92"/>
      <c r="AC336" s="92"/>
      <c r="AD336" s="93"/>
      <c r="AE336" s="93"/>
      <c r="AF336" s="92"/>
      <c r="AG336" s="92"/>
      <c r="AH336" s="92"/>
      <c r="AI336" s="92"/>
      <c r="AJ336" s="92"/>
      <c r="AK336" s="92"/>
      <c r="AL336" s="92"/>
      <c r="AM336" s="92"/>
      <c r="AN336" s="92"/>
      <c r="AO336" s="92"/>
      <c r="AP336" s="92"/>
      <c r="AQ336" s="92"/>
      <c r="AR336" s="92"/>
      <c r="AS336" s="92"/>
      <c r="AT336" s="92"/>
      <c r="AU336" s="92"/>
      <c r="AV336" s="92"/>
    </row>
    <row r="337" spans="1:48" x14ac:dyDescent="0.3">
      <c r="A337" s="92"/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3"/>
      <c r="X337" s="93"/>
      <c r="Y337" s="93"/>
      <c r="Z337" s="92"/>
      <c r="AA337" s="92"/>
      <c r="AB337" s="92"/>
      <c r="AC337" s="92"/>
      <c r="AD337" s="93"/>
      <c r="AE337" s="93"/>
      <c r="AF337" s="92"/>
      <c r="AG337" s="92"/>
      <c r="AH337" s="92"/>
      <c r="AI337" s="92"/>
      <c r="AJ337" s="92"/>
      <c r="AK337" s="92"/>
      <c r="AL337" s="92"/>
      <c r="AM337" s="92"/>
      <c r="AN337" s="92"/>
      <c r="AO337" s="92"/>
      <c r="AP337" s="92"/>
      <c r="AQ337" s="92"/>
      <c r="AR337" s="92"/>
      <c r="AS337" s="92"/>
      <c r="AT337" s="92"/>
      <c r="AU337" s="92"/>
      <c r="AV337" s="92"/>
    </row>
    <row r="338" spans="1:48" x14ac:dyDescent="0.3">
      <c r="A338" s="92"/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  <c r="AA338" s="92"/>
      <c r="AB338" s="92"/>
      <c r="AC338" s="92"/>
      <c r="AD338" s="93"/>
      <c r="AE338" s="93"/>
      <c r="AF338" s="92"/>
      <c r="AG338" s="92"/>
      <c r="AH338" s="92"/>
      <c r="AI338" s="92"/>
      <c r="AJ338" s="92"/>
      <c r="AK338" s="92"/>
      <c r="AL338" s="92"/>
      <c r="AM338" s="92"/>
      <c r="AN338" s="92"/>
      <c r="AO338" s="92"/>
      <c r="AP338" s="92"/>
      <c r="AQ338" s="92"/>
      <c r="AR338" s="92"/>
      <c r="AS338" s="92"/>
      <c r="AT338" s="92"/>
      <c r="AU338" s="92"/>
      <c r="AV338" s="92"/>
    </row>
    <row r="339" spans="1:48" x14ac:dyDescent="0.3">
      <c r="A339" s="92"/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/>
      <c r="AB339" s="92"/>
      <c r="AC339" s="92"/>
      <c r="AD339" s="93"/>
      <c r="AE339" s="93"/>
      <c r="AF339" s="92"/>
      <c r="AG339" s="92"/>
      <c r="AH339" s="92"/>
      <c r="AI339" s="92"/>
      <c r="AJ339" s="92"/>
      <c r="AK339" s="92"/>
      <c r="AL339" s="92"/>
      <c r="AM339" s="92"/>
      <c r="AN339" s="92"/>
      <c r="AO339" s="92"/>
      <c r="AP339" s="92"/>
      <c r="AQ339" s="92"/>
      <c r="AR339" s="92"/>
      <c r="AS339" s="92"/>
      <c r="AT339" s="92"/>
      <c r="AU339" s="92"/>
      <c r="AV339" s="92"/>
    </row>
    <row r="340" spans="1:48" x14ac:dyDescent="0.3">
      <c r="A340" s="92"/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  <c r="AA340" s="92"/>
      <c r="AB340" s="92"/>
      <c r="AC340" s="92"/>
      <c r="AD340" s="92"/>
      <c r="AE340" s="93"/>
      <c r="AF340" s="92"/>
      <c r="AG340" s="92"/>
      <c r="AH340" s="92"/>
      <c r="AI340" s="92"/>
      <c r="AJ340" s="92"/>
      <c r="AK340" s="92"/>
      <c r="AL340" s="92"/>
      <c r="AM340" s="92"/>
      <c r="AN340" s="92"/>
      <c r="AO340" s="92"/>
      <c r="AP340" s="92"/>
      <c r="AQ340" s="92"/>
      <c r="AR340" s="92"/>
      <c r="AS340" s="92"/>
      <c r="AT340" s="92"/>
      <c r="AU340" s="92"/>
      <c r="AV340" s="92"/>
    </row>
    <row r="341" spans="1:48" x14ac:dyDescent="0.3">
      <c r="A341" s="92"/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  <c r="AA341" s="92"/>
      <c r="AB341" s="92"/>
      <c r="AC341" s="92"/>
      <c r="AD341" s="93"/>
      <c r="AE341" s="93"/>
      <c r="AF341" s="92"/>
      <c r="AG341" s="92"/>
      <c r="AH341" s="92"/>
      <c r="AI341" s="92"/>
      <c r="AJ341" s="92"/>
      <c r="AK341" s="92"/>
      <c r="AL341" s="92"/>
      <c r="AM341" s="92"/>
      <c r="AN341" s="92"/>
      <c r="AO341" s="92"/>
      <c r="AP341" s="92"/>
      <c r="AQ341" s="92"/>
      <c r="AR341" s="92"/>
      <c r="AS341" s="92"/>
      <c r="AT341" s="92"/>
      <c r="AU341" s="92"/>
      <c r="AV341" s="92"/>
    </row>
    <row r="342" spans="1:48" x14ac:dyDescent="0.3">
      <c r="A342" s="92"/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  <c r="AA342" s="92"/>
      <c r="AB342" s="92"/>
      <c r="AC342" s="92"/>
      <c r="AD342" s="93"/>
      <c r="AE342" s="93"/>
      <c r="AF342" s="92"/>
      <c r="AG342" s="92"/>
      <c r="AH342" s="92"/>
      <c r="AI342" s="92"/>
      <c r="AJ342" s="92"/>
      <c r="AK342" s="92"/>
      <c r="AL342" s="92"/>
      <c r="AM342" s="92"/>
      <c r="AN342" s="92"/>
      <c r="AO342" s="92"/>
      <c r="AP342" s="92"/>
      <c r="AQ342" s="92"/>
      <c r="AR342" s="92"/>
      <c r="AS342" s="92"/>
      <c r="AT342" s="92"/>
      <c r="AU342" s="92"/>
      <c r="AV342" s="92"/>
    </row>
    <row r="343" spans="1:48" x14ac:dyDescent="0.3">
      <c r="A343" s="92"/>
      <c r="B343" s="92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  <c r="AA343" s="92"/>
      <c r="AB343" s="92"/>
      <c r="AC343" s="92"/>
      <c r="AD343" s="93"/>
      <c r="AE343" s="93"/>
      <c r="AF343" s="92"/>
      <c r="AG343" s="92"/>
      <c r="AH343" s="92"/>
      <c r="AI343" s="92"/>
      <c r="AJ343" s="92"/>
      <c r="AK343" s="92"/>
      <c r="AL343" s="92"/>
      <c r="AM343" s="92"/>
      <c r="AN343" s="92"/>
      <c r="AO343" s="92"/>
      <c r="AP343" s="92"/>
      <c r="AQ343" s="92"/>
      <c r="AR343" s="92"/>
      <c r="AS343" s="92"/>
      <c r="AT343" s="92"/>
      <c r="AU343" s="92"/>
      <c r="AV343" s="92"/>
    </row>
    <row r="344" spans="1:48" x14ac:dyDescent="0.3">
      <c r="A344" s="92"/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  <c r="AB344" s="92"/>
      <c r="AC344" s="92"/>
      <c r="AD344" s="93"/>
      <c r="AE344" s="93"/>
      <c r="AF344" s="92"/>
      <c r="AG344" s="92"/>
      <c r="AH344" s="92"/>
      <c r="AI344" s="92"/>
      <c r="AJ344" s="92"/>
      <c r="AK344" s="92"/>
      <c r="AL344" s="92"/>
      <c r="AM344" s="92"/>
      <c r="AN344" s="92"/>
      <c r="AO344" s="92"/>
      <c r="AP344" s="92"/>
      <c r="AQ344" s="92"/>
      <c r="AR344" s="92"/>
      <c r="AS344" s="92"/>
      <c r="AT344" s="92"/>
      <c r="AU344" s="92"/>
      <c r="AV344" s="92"/>
    </row>
    <row r="351" spans="1:48" ht="15.6" x14ac:dyDescent="0.3">
      <c r="A351" s="96"/>
      <c r="B351" s="96"/>
      <c r="C351" s="96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9"/>
      <c r="Y351" s="99"/>
      <c r="Z351" s="96"/>
    </row>
    <row r="352" spans="1:48" x14ac:dyDescent="0.3">
      <c r="A352" s="99"/>
      <c r="B352" s="100"/>
      <c r="C352" s="99"/>
      <c r="D352" s="101"/>
      <c r="E352" s="101"/>
      <c r="F352" s="101"/>
      <c r="G352" s="101"/>
      <c r="H352" s="101"/>
      <c r="I352" s="102"/>
      <c r="J352" s="102"/>
      <c r="K352" s="102"/>
      <c r="L352" s="103"/>
      <c r="M352" s="230"/>
      <c r="N352" s="230"/>
      <c r="O352" s="102"/>
      <c r="P352" s="99"/>
      <c r="Q352" s="99"/>
      <c r="R352" s="104"/>
      <c r="S352" s="230"/>
      <c r="T352" s="105"/>
      <c r="U352" s="105"/>
      <c r="V352" s="105"/>
      <c r="W352" s="105"/>
      <c r="X352" s="105"/>
      <c r="Y352" s="105"/>
      <c r="Z352" s="105"/>
    </row>
    <row r="353" spans="1:26" x14ac:dyDescent="0.3">
      <c r="A353" s="99"/>
      <c r="B353" s="100"/>
      <c r="C353" s="99"/>
      <c r="D353" s="101"/>
      <c r="E353" s="101"/>
      <c r="F353" s="101"/>
      <c r="G353" s="101"/>
      <c r="H353" s="106"/>
      <c r="I353" s="102"/>
      <c r="J353" s="102"/>
      <c r="K353" s="102"/>
      <c r="L353" s="103"/>
      <c r="M353" s="230"/>
      <c r="N353" s="230"/>
      <c r="O353" s="102"/>
      <c r="P353" s="99"/>
      <c r="Q353" s="99"/>
      <c r="R353" s="104"/>
      <c r="S353" s="230"/>
      <c r="T353" s="105"/>
      <c r="U353" s="105"/>
      <c r="V353" s="105"/>
      <c r="W353" s="105"/>
      <c r="X353" s="105"/>
      <c r="Y353" s="105"/>
      <c r="Z353" s="105"/>
    </row>
    <row r="354" spans="1:26" x14ac:dyDescent="0.3">
      <c r="A354" s="99"/>
      <c r="B354" s="100"/>
      <c r="C354" s="99"/>
      <c r="D354" s="101"/>
      <c r="E354" s="101"/>
      <c r="F354" s="101"/>
      <c r="G354" s="101"/>
      <c r="H354" s="101"/>
      <c r="I354" s="102"/>
      <c r="J354" s="102"/>
      <c r="K354" s="102"/>
      <c r="L354" s="103"/>
      <c r="M354" s="230"/>
      <c r="N354" s="230"/>
      <c r="O354" s="102"/>
      <c r="P354" s="99"/>
      <c r="Q354" s="99"/>
      <c r="R354" s="104"/>
      <c r="S354" s="230"/>
      <c r="T354" s="105"/>
      <c r="U354" s="105"/>
      <c r="V354" s="105"/>
      <c r="W354" s="105"/>
      <c r="X354" s="105"/>
      <c r="Y354" s="105"/>
      <c r="Z354" s="105"/>
    </row>
    <row r="355" spans="1:26" x14ac:dyDescent="0.3">
      <c r="A355" s="99"/>
      <c r="B355" s="100"/>
      <c r="C355" s="99"/>
      <c r="D355" s="101"/>
      <c r="E355" s="101"/>
      <c r="F355" s="101"/>
      <c r="G355" s="106"/>
      <c r="H355" s="106"/>
      <c r="I355" s="102"/>
      <c r="J355" s="102"/>
      <c r="K355" s="102"/>
      <c r="L355" s="103"/>
      <c r="M355" s="230"/>
      <c r="N355" s="230"/>
      <c r="O355" s="102"/>
      <c r="P355" s="99"/>
      <c r="Q355" s="99"/>
      <c r="R355" s="104"/>
      <c r="S355" s="230"/>
      <c r="T355" s="105"/>
      <c r="U355" s="105"/>
      <c r="V355" s="105"/>
      <c r="W355" s="105"/>
      <c r="X355" s="105"/>
      <c r="Y355" s="105"/>
      <c r="Z355" s="105"/>
    </row>
    <row r="356" spans="1:26" x14ac:dyDescent="0.3">
      <c r="A356" s="99"/>
      <c r="B356" s="100"/>
      <c r="C356" s="99"/>
      <c r="D356" s="101"/>
      <c r="E356" s="101"/>
      <c r="F356" s="101"/>
      <c r="G356" s="106"/>
      <c r="H356" s="106"/>
      <c r="I356" s="102"/>
      <c r="J356" s="102"/>
      <c r="K356" s="102"/>
      <c r="L356" s="103"/>
      <c r="M356" s="230"/>
      <c r="N356" s="230"/>
      <c r="O356" s="102"/>
      <c r="P356" s="99"/>
      <c r="Q356" s="99"/>
      <c r="R356" s="104"/>
      <c r="S356" s="230"/>
      <c r="T356" s="105"/>
      <c r="U356" s="105"/>
      <c r="V356" s="105"/>
      <c r="W356" s="105"/>
      <c r="X356" s="105"/>
      <c r="Y356" s="105"/>
      <c r="Z356" s="105"/>
    </row>
    <row r="357" spans="1:26" x14ac:dyDescent="0.3">
      <c r="A357" s="99"/>
      <c r="B357" s="100"/>
      <c r="C357" s="99"/>
      <c r="D357" s="101"/>
      <c r="E357" s="101"/>
      <c r="F357" s="101"/>
      <c r="G357" s="106"/>
      <c r="H357" s="106"/>
      <c r="I357" s="102"/>
      <c r="J357" s="102"/>
      <c r="K357" s="102"/>
      <c r="L357" s="103"/>
      <c r="M357" s="230"/>
      <c r="N357" s="230"/>
      <c r="O357" s="102"/>
      <c r="P357" s="99"/>
      <c r="Q357" s="99"/>
      <c r="R357" s="104"/>
      <c r="S357" s="230"/>
      <c r="T357" s="105"/>
      <c r="U357" s="105"/>
      <c r="V357" s="105"/>
      <c r="W357" s="105"/>
      <c r="X357" s="105"/>
      <c r="Y357" s="105"/>
      <c r="Z357" s="105"/>
    </row>
    <row r="358" spans="1:26" x14ac:dyDescent="0.3">
      <c r="A358" s="99"/>
      <c r="B358" s="100"/>
      <c r="C358" s="99"/>
      <c r="D358" s="101"/>
      <c r="E358" s="101"/>
      <c r="F358" s="101"/>
      <c r="G358" s="106"/>
      <c r="H358" s="106"/>
      <c r="I358" s="102"/>
      <c r="J358" s="102"/>
      <c r="K358" s="102"/>
      <c r="L358" s="103"/>
      <c r="M358" s="230"/>
      <c r="N358" s="230"/>
      <c r="O358" s="102"/>
      <c r="P358" s="99"/>
      <c r="Q358" s="99"/>
      <c r="R358" s="104"/>
      <c r="S358" s="230"/>
      <c r="T358" s="105"/>
      <c r="U358" s="105"/>
      <c r="V358" s="105"/>
      <c r="W358" s="105"/>
      <c r="X358" s="105"/>
      <c r="Y358" s="105"/>
      <c r="Z358" s="105"/>
    </row>
    <row r="359" spans="1:26" x14ac:dyDescent="0.3">
      <c r="A359" s="99"/>
      <c r="B359" s="100"/>
      <c r="C359" s="99"/>
      <c r="D359" s="101"/>
      <c r="E359" s="101"/>
      <c r="F359" s="101"/>
      <c r="G359" s="101"/>
      <c r="H359" s="101"/>
      <c r="I359" s="102"/>
      <c r="J359" s="102"/>
      <c r="K359" s="102"/>
      <c r="L359" s="103"/>
      <c r="M359" s="230"/>
      <c r="N359" s="230"/>
      <c r="O359" s="102"/>
      <c r="P359" s="99"/>
      <c r="Q359" s="99"/>
      <c r="R359" s="104"/>
      <c r="S359" s="230"/>
      <c r="T359" s="105"/>
      <c r="U359" s="105"/>
      <c r="V359" s="105"/>
      <c r="W359" s="105"/>
      <c r="X359" s="105"/>
      <c r="Y359" s="105"/>
      <c r="Z359" s="105"/>
    </row>
    <row r="360" spans="1:26" x14ac:dyDescent="0.3">
      <c r="A360" s="99"/>
      <c r="B360" s="100"/>
      <c r="C360" s="99"/>
      <c r="D360" s="101"/>
      <c r="E360" s="101"/>
      <c r="F360" s="101"/>
      <c r="G360" s="101"/>
      <c r="H360" s="101"/>
      <c r="I360" s="102"/>
      <c r="J360" s="102"/>
      <c r="K360" s="102"/>
      <c r="L360" s="103"/>
      <c r="M360" s="230"/>
      <c r="N360" s="230"/>
      <c r="O360" s="102"/>
      <c r="P360" s="99"/>
      <c r="Q360" s="99"/>
      <c r="R360" s="104"/>
      <c r="S360" s="230"/>
      <c r="T360" s="105"/>
      <c r="U360" s="105"/>
      <c r="V360" s="105"/>
      <c r="W360" s="105"/>
      <c r="X360" s="105"/>
      <c r="Y360" s="105"/>
      <c r="Z360" s="105"/>
    </row>
    <row r="361" spans="1:26" x14ac:dyDescent="0.3">
      <c r="A361" s="99"/>
      <c r="B361" s="100"/>
      <c r="C361" s="99"/>
      <c r="D361" s="101"/>
      <c r="E361" s="101"/>
      <c r="F361" s="101"/>
      <c r="G361" s="101"/>
      <c r="H361" s="101"/>
      <c r="I361" s="102"/>
      <c r="J361" s="102"/>
      <c r="K361" s="102"/>
      <c r="L361" s="103"/>
      <c r="M361" s="230"/>
      <c r="N361" s="230"/>
      <c r="O361" s="102"/>
      <c r="P361" s="99"/>
      <c r="Q361" s="99"/>
      <c r="R361" s="104"/>
      <c r="S361" s="230"/>
      <c r="T361" s="105"/>
      <c r="U361" s="105"/>
      <c r="V361" s="105"/>
      <c r="W361" s="105"/>
      <c r="X361" s="105"/>
      <c r="Y361" s="105"/>
      <c r="Z361" s="105"/>
    </row>
    <row r="362" spans="1:26" x14ac:dyDescent="0.3">
      <c r="A362" s="99"/>
      <c r="B362" s="100"/>
      <c r="C362" s="99"/>
      <c r="D362" s="101"/>
      <c r="E362" s="101"/>
      <c r="F362" s="101"/>
      <c r="G362" s="101"/>
      <c r="H362" s="101"/>
      <c r="I362" s="102"/>
      <c r="J362" s="102"/>
      <c r="K362" s="102"/>
      <c r="L362" s="103"/>
      <c r="M362" s="230"/>
      <c r="N362" s="230"/>
      <c r="O362" s="102"/>
      <c r="P362" s="99"/>
      <c r="Q362" s="99"/>
      <c r="R362" s="104"/>
      <c r="S362" s="230"/>
      <c r="T362" s="105"/>
      <c r="U362" s="105"/>
      <c r="V362" s="105"/>
      <c r="W362" s="105"/>
      <c r="X362" s="105"/>
      <c r="Y362" s="105"/>
      <c r="Z362" s="105"/>
    </row>
    <row r="363" spans="1:26" x14ac:dyDescent="0.3">
      <c r="A363" s="99"/>
      <c r="B363" s="100"/>
      <c r="C363" s="99"/>
      <c r="D363" s="101"/>
      <c r="E363" s="101"/>
      <c r="F363" s="101"/>
      <c r="G363" s="106"/>
      <c r="H363" s="106"/>
      <c r="I363" s="102"/>
      <c r="J363" s="102"/>
      <c r="K363" s="102"/>
      <c r="L363" s="103"/>
      <c r="M363" s="230"/>
      <c r="N363" s="230"/>
      <c r="O363" s="102"/>
      <c r="P363" s="99"/>
      <c r="Q363" s="99"/>
      <c r="R363" s="104"/>
      <c r="S363" s="230"/>
      <c r="T363" s="105"/>
      <c r="U363" s="105"/>
      <c r="V363" s="105"/>
      <c r="W363" s="105"/>
      <c r="X363" s="105"/>
      <c r="Y363" s="105"/>
      <c r="Z363" s="105"/>
    </row>
    <row r="364" spans="1:26" x14ac:dyDescent="0.3">
      <c r="A364" s="99"/>
      <c r="B364" s="100"/>
      <c r="C364" s="99"/>
      <c r="D364" s="101"/>
      <c r="E364" s="101"/>
      <c r="F364" s="101"/>
      <c r="G364" s="106"/>
      <c r="H364" s="106"/>
      <c r="I364" s="102"/>
      <c r="J364" s="102"/>
      <c r="K364" s="102"/>
      <c r="L364" s="103"/>
      <c r="M364" s="230"/>
      <c r="N364" s="230"/>
      <c r="O364" s="102"/>
      <c r="P364" s="99"/>
      <c r="Q364" s="99"/>
      <c r="R364" s="104"/>
      <c r="S364" s="230"/>
      <c r="T364" s="105"/>
      <c r="U364" s="105"/>
      <c r="V364" s="105"/>
      <c r="W364" s="105"/>
      <c r="X364" s="105"/>
      <c r="Y364" s="105"/>
      <c r="Z364" s="105"/>
    </row>
    <row r="365" spans="1:26" x14ac:dyDescent="0.3">
      <c r="A365" s="99"/>
      <c r="B365" s="100"/>
      <c r="C365" s="99"/>
      <c r="D365" s="101"/>
      <c r="E365" s="101"/>
      <c r="F365" s="101"/>
      <c r="G365" s="106"/>
      <c r="H365" s="106"/>
      <c r="I365" s="102"/>
      <c r="J365" s="102"/>
      <c r="K365" s="102"/>
      <c r="L365" s="103"/>
      <c r="M365" s="230"/>
      <c r="N365" s="230"/>
      <c r="O365" s="102"/>
      <c r="P365" s="99"/>
      <c r="Q365" s="99"/>
      <c r="R365" s="104"/>
      <c r="S365" s="230"/>
      <c r="T365" s="105"/>
      <c r="U365" s="105"/>
      <c r="V365" s="105"/>
      <c r="W365" s="105"/>
      <c r="X365" s="105"/>
      <c r="Y365" s="105"/>
      <c r="Z365" s="105"/>
    </row>
    <row r="366" spans="1:26" x14ac:dyDescent="0.3">
      <c r="A366" s="99"/>
      <c r="B366" s="100"/>
      <c r="C366" s="99"/>
      <c r="D366" s="101"/>
      <c r="E366" s="101"/>
      <c r="F366" s="101"/>
      <c r="G366" s="106"/>
      <c r="H366" s="106"/>
      <c r="I366" s="102"/>
      <c r="J366" s="102"/>
      <c r="K366" s="102"/>
      <c r="L366" s="103"/>
      <c r="M366" s="230"/>
      <c r="N366" s="230"/>
      <c r="O366" s="102"/>
      <c r="P366" s="99"/>
      <c r="Q366" s="99"/>
      <c r="R366" s="104"/>
      <c r="S366" s="230"/>
      <c r="T366" s="105"/>
      <c r="U366" s="105"/>
      <c r="V366" s="105"/>
      <c r="W366" s="105"/>
      <c r="X366" s="105"/>
      <c r="Y366" s="105"/>
      <c r="Z366" s="105"/>
    </row>
    <row r="367" spans="1:26" x14ac:dyDescent="0.3">
      <c r="A367" s="99"/>
      <c r="B367" s="100"/>
      <c r="C367" s="99"/>
      <c r="D367" s="101"/>
      <c r="E367" s="101"/>
      <c r="F367" s="101"/>
      <c r="G367" s="106"/>
      <c r="H367" s="106"/>
      <c r="I367" s="102"/>
      <c r="J367" s="102"/>
      <c r="K367" s="102"/>
      <c r="L367" s="103"/>
      <c r="M367" s="230"/>
      <c r="N367" s="230"/>
      <c r="O367" s="102"/>
      <c r="P367" s="99"/>
      <c r="Q367" s="99"/>
      <c r="R367" s="104"/>
      <c r="S367" s="230"/>
      <c r="T367" s="105"/>
      <c r="U367" s="105"/>
      <c r="V367" s="105"/>
      <c r="W367" s="105"/>
      <c r="X367" s="105"/>
      <c r="Y367" s="105"/>
      <c r="Z367" s="105"/>
    </row>
    <row r="368" spans="1:26" x14ac:dyDescent="0.3">
      <c r="A368" s="99"/>
      <c r="B368" s="100"/>
      <c r="C368" s="99"/>
      <c r="D368" s="101"/>
      <c r="E368" s="101"/>
      <c r="F368" s="101"/>
      <c r="G368" s="106"/>
      <c r="H368" s="106"/>
      <c r="I368" s="102"/>
      <c r="J368" s="102"/>
      <c r="K368" s="102"/>
      <c r="L368" s="103"/>
      <c r="M368" s="230"/>
      <c r="N368" s="230"/>
      <c r="O368" s="102"/>
      <c r="P368" s="99"/>
      <c r="Q368" s="99"/>
      <c r="R368" s="104"/>
      <c r="S368" s="230"/>
      <c r="T368" s="105"/>
      <c r="U368" s="105"/>
      <c r="V368" s="105"/>
      <c r="W368" s="105"/>
      <c r="X368" s="105"/>
      <c r="Y368" s="105"/>
      <c r="Z368" s="105"/>
    </row>
    <row r="369" spans="1:26" x14ac:dyDescent="0.3">
      <c r="A369" s="99"/>
      <c r="B369" s="100"/>
      <c r="C369" s="99"/>
      <c r="D369" s="101"/>
      <c r="E369" s="101"/>
      <c r="F369" s="101"/>
      <c r="G369" s="106"/>
      <c r="H369" s="106"/>
      <c r="I369" s="102"/>
      <c r="J369" s="102"/>
      <c r="K369" s="102"/>
      <c r="L369" s="103"/>
      <c r="M369" s="230"/>
      <c r="N369" s="230"/>
      <c r="O369" s="102"/>
      <c r="P369" s="99"/>
      <c r="Q369" s="99"/>
      <c r="R369" s="104"/>
      <c r="S369" s="230"/>
      <c r="T369" s="105"/>
      <c r="U369" s="105"/>
      <c r="V369" s="105"/>
      <c r="W369" s="105"/>
      <c r="X369" s="105"/>
      <c r="Y369" s="105"/>
      <c r="Z369" s="105"/>
    </row>
    <row r="370" spans="1:26" x14ac:dyDescent="0.3">
      <c r="A370" s="99"/>
      <c r="B370" s="100"/>
      <c r="C370" s="99"/>
      <c r="D370" s="101"/>
      <c r="E370" s="101"/>
      <c r="F370" s="101"/>
      <c r="G370" s="101"/>
      <c r="H370" s="101"/>
      <c r="I370" s="102"/>
      <c r="J370" s="102"/>
      <c r="K370" s="102"/>
      <c r="L370" s="103"/>
      <c r="M370" s="230"/>
      <c r="N370" s="230"/>
      <c r="O370" s="102"/>
      <c r="P370" s="99"/>
      <c r="Q370" s="99"/>
      <c r="R370" s="104"/>
      <c r="S370" s="230"/>
      <c r="T370" s="105"/>
      <c r="U370" s="105"/>
      <c r="V370" s="105"/>
      <c r="W370" s="105"/>
      <c r="X370" s="105"/>
      <c r="Y370" s="105"/>
      <c r="Z370" s="105"/>
    </row>
    <row r="371" spans="1:26" x14ac:dyDescent="0.3">
      <c r="A371" s="99"/>
      <c r="B371" s="100"/>
      <c r="C371" s="99"/>
      <c r="D371" s="101"/>
      <c r="E371" s="101"/>
      <c r="F371" s="101"/>
      <c r="G371" s="101"/>
      <c r="H371" s="101"/>
      <c r="I371" s="102"/>
      <c r="J371" s="102"/>
      <c r="K371" s="102"/>
      <c r="L371" s="103"/>
      <c r="M371" s="230"/>
      <c r="N371" s="230"/>
      <c r="O371" s="102"/>
      <c r="P371" s="99"/>
      <c r="Q371" s="99"/>
      <c r="R371" s="104"/>
      <c r="S371" s="230"/>
      <c r="T371" s="105"/>
      <c r="U371" s="105"/>
      <c r="V371" s="105"/>
      <c r="W371" s="105"/>
      <c r="X371" s="105"/>
      <c r="Y371" s="105"/>
      <c r="Z371" s="105"/>
    </row>
    <row r="372" spans="1:26" x14ac:dyDescent="0.3">
      <c r="A372" s="99"/>
      <c r="B372" s="100"/>
      <c r="C372" s="99"/>
      <c r="D372" s="101"/>
      <c r="E372" s="101"/>
      <c r="F372" s="101"/>
      <c r="G372" s="101"/>
      <c r="H372" s="101"/>
      <c r="I372" s="102"/>
      <c r="J372" s="102"/>
      <c r="K372" s="102"/>
      <c r="L372" s="103"/>
      <c r="M372" s="230"/>
      <c r="N372" s="230"/>
      <c r="O372" s="102"/>
      <c r="P372" s="99"/>
      <c r="Q372" s="99"/>
      <c r="R372" s="104"/>
      <c r="S372" s="230"/>
      <c r="T372" s="105"/>
      <c r="U372" s="105"/>
      <c r="V372" s="105"/>
      <c r="W372" s="105"/>
      <c r="X372" s="105"/>
      <c r="Y372" s="105"/>
      <c r="Z372" s="105"/>
    </row>
    <row r="373" spans="1:26" x14ac:dyDescent="0.3">
      <c r="A373" s="99"/>
      <c r="B373" s="100"/>
      <c r="C373" s="99"/>
      <c r="D373" s="101"/>
      <c r="E373" s="101"/>
      <c r="F373" s="101"/>
      <c r="G373" s="101"/>
      <c r="H373" s="101"/>
      <c r="I373" s="102"/>
      <c r="J373" s="102"/>
      <c r="K373" s="102"/>
      <c r="L373" s="103"/>
      <c r="M373" s="230"/>
      <c r="N373" s="230"/>
      <c r="O373" s="102"/>
      <c r="P373" s="99"/>
      <c r="Q373" s="99"/>
      <c r="R373" s="104"/>
      <c r="S373" s="230"/>
      <c r="T373" s="105"/>
      <c r="U373" s="105"/>
      <c r="V373" s="105"/>
      <c r="W373" s="105"/>
      <c r="X373" s="105"/>
      <c r="Y373" s="105"/>
      <c r="Z373" s="105"/>
    </row>
    <row r="374" spans="1:26" x14ac:dyDescent="0.3">
      <c r="A374" s="99"/>
      <c r="B374" s="100"/>
      <c r="C374" s="99"/>
      <c r="D374" s="101"/>
      <c r="E374" s="101"/>
      <c r="F374" s="101"/>
      <c r="G374" s="101"/>
      <c r="H374" s="101"/>
      <c r="I374" s="102"/>
      <c r="J374" s="102"/>
      <c r="K374" s="102"/>
      <c r="L374" s="103"/>
      <c r="M374" s="230"/>
      <c r="N374" s="230"/>
      <c r="O374" s="102"/>
      <c r="P374" s="99"/>
      <c r="Q374" s="99"/>
      <c r="R374" s="104"/>
      <c r="S374" s="230"/>
      <c r="T374" s="105"/>
      <c r="U374" s="105"/>
      <c r="V374" s="105"/>
      <c r="W374" s="105"/>
      <c r="X374" s="105"/>
      <c r="Y374" s="105"/>
      <c r="Z374" s="105"/>
    </row>
    <row r="375" spans="1:26" x14ac:dyDescent="0.3">
      <c r="A375" s="99"/>
      <c r="B375" s="100"/>
      <c r="C375" s="99"/>
      <c r="D375" s="101"/>
      <c r="E375" s="101"/>
      <c r="F375" s="101"/>
      <c r="G375" s="101"/>
      <c r="H375" s="101"/>
      <c r="I375" s="102"/>
      <c r="J375" s="102"/>
      <c r="K375" s="102"/>
      <c r="L375" s="103"/>
      <c r="M375" s="230"/>
      <c r="N375" s="230"/>
      <c r="O375" s="102"/>
      <c r="P375" s="99"/>
      <c r="Q375" s="99"/>
      <c r="R375" s="104"/>
      <c r="S375" s="230"/>
      <c r="T375" s="105"/>
      <c r="U375" s="105"/>
      <c r="V375" s="105"/>
      <c r="W375" s="105"/>
      <c r="X375" s="105"/>
      <c r="Y375" s="105"/>
      <c r="Z375" s="105"/>
    </row>
    <row r="376" spans="1:26" x14ac:dyDescent="0.3">
      <c r="A376" s="99"/>
      <c r="B376" s="100"/>
      <c r="C376" s="99"/>
      <c r="D376" s="101"/>
      <c r="E376" s="101"/>
      <c r="F376" s="101"/>
      <c r="G376" s="101"/>
      <c r="H376" s="101"/>
      <c r="I376" s="102"/>
      <c r="J376" s="102"/>
      <c r="K376" s="102"/>
      <c r="L376" s="103"/>
      <c r="M376" s="230"/>
      <c r="N376" s="230"/>
      <c r="O376" s="102"/>
      <c r="P376" s="99"/>
      <c r="Q376" s="99"/>
      <c r="R376" s="104"/>
      <c r="S376" s="230"/>
      <c r="T376" s="105"/>
      <c r="U376" s="105"/>
      <c r="V376" s="105"/>
      <c r="W376" s="105"/>
      <c r="X376" s="105"/>
      <c r="Y376" s="105"/>
      <c r="Z376" s="105"/>
    </row>
    <row r="377" spans="1:26" x14ac:dyDescent="0.3">
      <c r="A377" s="255"/>
      <c r="B377" s="255"/>
      <c r="C377" s="255"/>
      <c r="D377" s="255"/>
      <c r="E377" s="255"/>
      <c r="F377" s="255"/>
      <c r="G377" s="255"/>
      <c r="H377" s="255"/>
      <c r="I377" s="255"/>
      <c r="J377" s="255"/>
      <c r="K377" s="255"/>
      <c r="L377" s="255"/>
      <c r="M377" s="255"/>
      <c r="N377" s="255"/>
      <c r="O377" s="255"/>
      <c r="P377" s="255"/>
      <c r="Q377" s="255"/>
      <c r="R377" s="255"/>
      <c r="S377" s="255"/>
      <c r="T377" s="107"/>
      <c r="U377" s="107"/>
      <c r="V377" s="107"/>
      <c r="W377" s="107"/>
      <c r="X377" s="107"/>
      <c r="Y377" s="107"/>
      <c r="Z377" s="107"/>
    </row>
  </sheetData>
  <mergeCells count="15">
    <mergeCell ref="C23:F24"/>
    <mergeCell ref="A1:B1"/>
    <mergeCell ref="A17:C18"/>
    <mergeCell ref="A377:S377"/>
    <mergeCell ref="D83:E84"/>
    <mergeCell ref="C43:D44"/>
    <mergeCell ref="D63:E64"/>
    <mergeCell ref="U63:X64"/>
    <mergeCell ref="L23:O24"/>
    <mergeCell ref="U23:X24"/>
    <mergeCell ref="AD23:AG24"/>
    <mergeCell ref="M83:N84"/>
    <mergeCell ref="M43:N44"/>
    <mergeCell ref="V43:W44"/>
    <mergeCell ref="M63:N6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733CB-8B24-4776-80B0-FA5AA1F3DCF7}">
  <sheetPr codeName="Sheet2"/>
  <dimension ref="A1:AG226"/>
  <sheetViews>
    <sheetView topLeftCell="A100" zoomScale="85" zoomScaleNormal="85" workbookViewId="0">
      <selection activeCell="A126" sqref="A126"/>
    </sheetView>
  </sheetViews>
  <sheetFormatPr defaultColWidth="17.21875" defaultRowHeight="15.75" customHeight="1" x14ac:dyDescent="0.25"/>
  <cols>
    <col min="1" max="1" width="17.21875" style="109" customWidth="1"/>
    <col min="2" max="2" width="18.5546875" style="109" customWidth="1"/>
    <col min="3" max="3" width="10.5546875" style="109" customWidth="1"/>
    <col min="4" max="4" width="14.77734375" style="109" customWidth="1"/>
    <col min="5" max="11" width="11.5546875" style="109" customWidth="1"/>
    <col min="12" max="12" width="14.5546875" style="109" customWidth="1"/>
    <col min="13" max="13" width="16.44140625" style="109" customWidth="1"/>
    <col min="14" max="14" width="13.77734375" style="109" customWidth="1"/>
    <col min="15" max="15" width="8.44140625" style="109" customWidth="1"/>
    <col min="16" max="16" width="26.44140625" style="109" customWidth="1"/>
    <col min="17" max="17" width="24.21875" style="109" customWidth="1"/>
    <col min="18" max="18" width="17.44140625" style="109" customWidth="1"/>
    <col min="19" max="21" width="11.5546875" style="109" customWidth="1"/>
    <col min="22" max="22" width="14.21875" style="109" customWidth="1"/>
    <col min="23" max="23" width="11.5546875" style="109" customWidth="1"/>
    <col min="24" max="25" width="10.21875" style="109" customWidth="1"/>
    <col min="26" max="26" width="8" style="109" customWidth="1"/>
    <col min="27" max="28" width="23.77734375" style="109" customWidth="1"/>
    <col min="29" max="29" width="8.77734375" style="109" customWidth="1"/>
    <col min="30" max="31" width="23.77734375" style="109" customWidth="1"/>
    <col min="32" max="32" width="81.21875" style="109" customWidth="1"/>
    <col min="33" max="16384" width="17.21875" style="109"/>
  </cols>
  <sheetData>
    <row r="1" spans="1:3" ht="15.75" customHeight="1" thickBot="1" x14ac:dyDescent="0.35">
      <c r="A1" s="260" t="s">
        <v>0</v>
      </c>
      <c r="B1" s="261"/>
      <c r="C1" s="262"/>
    </row>
    <row r="2" spans="1:3" ht="15.75" customHeight="1" x14ac:dyDescent="0.3">
      <c r="A2" s="145" t="s">
        <v>228</v>
      </c>
      <c r="B2" s="146">
        <v>287</v>
      </c>
      <c r="C2" s="146" t="s">
        <v>229</v>
      </c>
    </row>
    <row r="3" spans="1:3" ht="15.75" customHeight="1" x14ac:dyDescent="0.3">
      <c r="A3" s="143" t="s">
        <v>230</v>
      </c>
      <c r="B3" s="144">
        <v>280</v>
      </c>
      <c r="C3" s="144" t="s">
        <v>229</v>
      </c>
    </row>
    <row r="4" spans="1:3" ht="15.75" customHeight="1" x14ac:dyDescent="0.3">
      <c r="A4" s="143" t="s">
        <v>2</v>
      </c>
      <c r="B4" s="144">
        <v>37</v>
      </c>
      <c r="C4" s="144" t="s">
        <v>229</v>
      </c>
    </row>
    <row r="5" spans="1:3" ht="15.75" customHeight="1" x14ac:dyDescent="0.3">
      <c r="A5" s="143" t="s">
        <v>3</v>
      </c>
      <c r="B5" s="144">
        <v>8</v>
      </c>
      <c r="C5" s="144" t="s">
        <v>229</v>
      </c>
    </row>
    <row r="6" spans="1:3" ht="15.75" customHeight="1" x14ac:dyDescent="0.3">
      <c r="A6" s="143" t="s">
        <v>4</v>
      </c>
      <c r="B6" s="144">
        <v>16</v>
      </c>
      <c r="C6" s="144" t="s">
        <v>229</v>
      </c>
    </row>
    <row r="7" spans="1:3" ht="15.75" customHeight="1" x14ac:dyDescent="0.3">
      <c r="A7" s="143" t="s">
        <v>5</v>
      </c>
      <c r="B7" s="144">
        <v>4826</v>
      </c>
      <c r="C7" s="144" t="s">
        <v>231</v>
      </c>
    </row>
    <row r="8" spans="1:3" ht="15.75" customHeight="1" x14ac:dyDescent="0.3">
      <c r="A8" s="143" t="s">
        <v>6</v>
      </c>
      <c r="B8" s="144">
        <v>0.75</v>
      </c>
      <c r="C8" s="144"/>
    </row>
    <row r="9" spans="1:3" ht="15.75" customHeight="1" x14ac:dyDescent="0.3">
      <c r="A9" s="143" t="s">
        <v>7</v>
      </c>
      <c r="B9" s="144">
        <v>18</v>
      </c>
      <c r="C9" s="144" t="s">
        <v>232</v>
      </c>
    </row>
    <row r="10" spans="1:3" ht="15.75" customHeight="1" x14ac:dyDescent="0.3">
      <c r="A10" s="143" t="s">
        <v>8</v>
      </c>
      <c r="B10" s="144">
        <v>2000</v>
      </c>
      <c r="C10" s="144"/>
    </row>
    <row r="11" spans="1:3" ht="15.75" customHeight="1" x14ac:dyDescent="0.3">
      <c r="A11" s="143" t="s">
        <v>233</v>
      </c>
      <c r="B11" s="144">
        <v>50000</v>
      </c>
      <c r="C11" s="144" t="s">
        <v>234</v>
      </c>
    </row>
    <row r="12" spans="1:3" ht="15.75" customHeight="1" x14ac:dyDescent="0.3">
      <c r="A12" s="143" t="s">
        <v>235</v>
      </c>
      <c r="B12" s="144">
        <v>3000</v>
      </c>
      <c r="C12" s="144"/>
    </row>
    <row r="13" spans="1:3" ht="15.75" customHeight="1" x14ac:dyDescent="0.3">
      <c r="A13" s="143" t="s">
        <v>9</v>
      </c>
      <c r="B13" s="49">
        <f>B3/B4</f>
        <v>7.5675675675675675</v>
      </c>
      <c r="C13" s="49"/>
    </row>
    <row r="14" spans="1:3" ht="15.75" customHeight="1" x14ac:dyDescent="0.3">
      <c r="A14" s="143" t="s">
        <v>10</v>
      </c>
      <c r="B14" s="49">
        <f>B4/B5</f>
        <v>4.625</v>
      </c>
      <c r="C14" s="49"/>
    </row>
    <row r="15" spans="1:3" ht="15.75" customHeight="1" x14ac:dyDescent="0.3">
      <c r="A15" s="143" t="s">
        <v>11</v>
      </c>
      <c r="B15" s="49">
        <f>B3/B6</f>
        <v>17.5</v>
      </c>
      <c r="C15" s="49"/>
    </row>
    <row r="16" spans="1:3" ht="15.75" customHeight="1" x14ac:dyDescent="0.3">
      <c r="A16" s="143" t="s">
        <v>12</v>
      </c>
      <c r="B16" s="49">
        <f>B3/(B8*B3*B4*B5)^(1/3)</f>
        <v>7.0683985547737125</v>
      </c>
      <c r="C16" s="49"/>
    </row>
    <row r="17" spans="1:26" ht="15.75" customHeight="1" x14ac:dyDescent="0.3">
      <c r="A17" s="143" t="s">
        <v>13</v>
      </c>
      <c r="B17" s="49">
        <f>CONVERT(B9,"kn","m/sec")/SQRT(9.81*B3)</f>
        <v>0.1766840994720856</v>
      </c>
      <c r="C17" s="49"/>
    </row>
    <row r="18" spans="1:26" ht="15.75" customHeight="1" x14ac:dyDescent="0.3">
      <c r="A18"/>
      <c r="B18"/>
      <c r="C18"/>
    </row>
    <row r="19" spans="1:26" ht="15.75" customHeight="1" thickBot="1" x14ac:dyDescent="0.35">
      <c r="A19" s="90"/>
      <c r="B19"/>
      <c r="C19"/>
    </row>
    <row r="20" spans="1:26" ht="15.75" customHeight="1" x14ac:dyDescent="0.25">
      <c r="A20" s="249" t="s">
        <v>15</v>
      </c>
      <c r="B20" s="250"/>
      <c r="C20" s="251"/>
    </row>
    <row r="21" spans="1:26" ht="15.75" customHeight="1" thickBot="1" x14ac:dyDescent="0.3">
      <c r="A21" s="252"/>
      <c r="B21" s="253"/>
      <c r="C21" s="254"/>
    </row>
    <row r="28" spans="1:26" ht="15.75" customHeight="1" thickBot="1" x14ac:dyDescent="0.3"/>
    <row r="29" spans="1:26" ht="15.75" customHeight="1" x14ac:dyDescent="0.3">
      <c r="A29" s="87"/>
      <c r="B29" s="86"/>
      <c r="C29" s="238" t="s">
        <v>17</v>
      </c>
      <c r="D29" s="239"/>
      <c r="E29" s="239"/>
      <c r="F29" s="240"/>
      <c r="G29" s="86"/>
      <c r="H29" s="85"/>
      <c r="I29"/>
      <c r="J29" s="87"/>
      <c r="K29" s="86"/>
      <c r="L29" s="232" t="s">
        <v>18</v>
      </c>
      <c r="M29" s="233"/>
      <c r="N29" s="233"/>
      <c r="O29" s="234"/>
      <c r="P29" s="86"/>
      <c r="Q29" s="85"/>
      <c r="R29"/>
      <c r="S29" s="87"/>
      <c r="T29" s="86"/>
      <c r="U29" s="232" t="s">
        <v>19</v>
      </c>
      <c r="V29" s="233"/>
      <c r="W29" s="233"/>
      <c r="X29" s="234"/>
      <c r="Y29" s="86"/>
      <c r="Z29" s="85"/>
    </row>
    <row r="30" spans="1:26" ht="15.75" customHeight="1" thickBot="1" x14ac:dyDescent="0.35">
      <c r="A30" s="84"/>
      <c r="B30" s="46"/>
      <c r="C30" s="241"/>
      <c r="D30" s="242"/>
      <c r="E30" s="242"/>
      <c r="F30" s="243"/>
      <c r="G30" s="46"/>
      <c r="H30" s="83"/>
      <c r="I30"/>
      <c r="J30" s="84"/>
      <c r="K30" s="46"/>
      <c r="L30" s="235"/>
      <c r="M30" s="236"/>
      <c r="N30" s="236"/>
      <c r="O30" s="237"/>
      <c r="P30" s="46"/>
      <c r="Q30" s="83"/>
      <c r="R30"/>
      <c r="S30" s="84"/>
      <c r="T30" s="46"/>
      <c r="U30" s="235"/>
      <c r="V30" s="236"/>
      <c r="W30" s="236"/>
      <c r="X30" s="237"/>
      <c r="Y30" s="46"/>
      <c r="Z30" s="83"/>
    </row>
    <row r="31" spans="1:26" ht="15.75" customHeight="1" x14ac:dyDescent="0.3">
      <c r="A31" s="84"/>
      <c r="B31" s="46"/>
      <c r="C31" s="46"/>
      <c r="D31" s="46"/>
      <c r="E31" s="46"/>
      <c r="F31" s="46"/>
      <c r="G31" s="46"/>
      <c r="H31" s="83"/>
      <c r="I31"/>
      <c r="J31" s="84"/>
      <c r="K31" s="46"/>
      <c r="L31" s="46"/>
      <c r="M31" s="46"/>
      <c r="N31" s="46"/>
      <c r="O31" s="46"/>
      <c r="P31" s="46"/>
      <c r="Q31" s="83"/>
      <c r="R31"/>
      <c r="S31" s="84"/>
      <c r="T31" s="46"/>
      <c r="U31" s="46"/>
      <c r="V31" s="46"/>
      <c r="W31" s="46"/>
      <c r="X31" s="46"/>
      <c r="Y31" s="46"/>
      <c r="Z31" s="83"/>
    </row>
    <row r="32" spans="1:26" ht="15.75" customHeight="1" x14ac:dyDescent="0.3">
      <c r="A32" s="84"/>
      <c r="B32" s="46"/>
      <c r="C32" s="46"/>
      <c r="D32" s="46"/>
      <c r="E32" s="46"/>
      <c r="F32" s="46"/>
      <c r="G32" s="46"/>
      <c r="H32" s="83"/>
      <c r="I32"/>
      <c r="J32" s="84"/>
      <c r="K32" s="46"/>
      <c r="L32" s="46"/>
      <c r="M32" s="46"/>
      <c r="N32" s="46"/>
      <c r="O32" s="46"/>
      <c r="P32" s="46"/>
      <c r="Q32" s="83"/>
      <c r="R32"/>
      <c r="S32" s="84"/>
      <c r="T32" s="46"/>
      <c r="U32" s="46"/>
      <c r="V32" s="46"/>
      <c r="W32" s="46"/>
      <c r="X32" s="46"/>
      <c r="Y32" s="46"/>
      <c r="Z32" s="83"/>
    </row>
    <row r="33" spans="1:26" ht="15.75" customHeight="1" x14ac:dyDescent="0.3">
      <c r="A33" s="84"/>
      <c r="B33" s="46"/>
      <c r="C33" s="46"/>
      <c r="D33" s="46"/>
      <c r="E33" s="46"/>
      <c r="F33" s="46"/>
      <c r="G33" s="46"/>
      <c r="H33" s="83"/>
      <c r="I33"/>
      <c r="J33" s="84"/>
      <c r="K33" s="46"/>
      <c r="L33" s="46"/>
      <c r="M33" s="46"/>
      <c r="N33" s="46"/>
      <c r="O33" s="46"/>
      <c r="P33" s="46"/>
      <c r="Q33" s="83"/>
      <c r="R33"/>
      <c r="S33" s="84"/>
      <c r="T33" s="46"/>
      <c r="U33" s="46"/>
      <c r="V33" s="46"/>
      <c r="W33" s="46"/>
      <c r="X33" s="46"/>
      <c r="Y33" s="46"/>
      <c r="Z33" s="83"/>
    </row>
    <row r="34" spans="1:26" ht="15.75" customHeight="1" x14ac:dyDescent="0.3">
      <c r="A34" s="84"/>
      <c r="B34" s="46"/>
      <c r="C34" s="46"/>
      <c r="D34" s="46"/>
      <c r="E34" s="46"/>
      <c r="F34" s="46"/>
      <c r="G34" s="46"/>
      <c r="H34" s="83"/>
      <c r="I34"/>
      <c r="J34" s="84"/>
      <c r="K34" s="46"/>
      <c r="L34" s="46"/>
      <c r="M34" s="46"/>
      <c r="N34" s="46"/>
      <c r="O34" s="46"/>
      <c r="P34" s="46"/>
      <c r="Q34" s="83"/>
      <c r="R34"/>
      <c r="S34" s="84"/>
      <c r="T34" s="46"/>
      <c r="U34" s="46"/>
      <c r="V34" s="46"/>
      <c r="W34" s="46"/>
      <c r="X34" s="46"/>
      <c r="Y34" s="46"/>
      <c r="Z34" s="83"/>
    </row>
    <row r="35" spans="1:26" ht="15.75" customHeight="1" x14ac:dyDescent="0.3">
      <c r="A35" s="84"/>
      <c r="B35" s="46"/>
      <c r="C35" s="46"/>
      <c r="D35" s="46"/>
      <c r="E35" s="46"/>
      <c r="F35" s="46"/>
      <c r="G35" s="46"/>
      <c r="H35" s="83"/>
      <c r="I35"/>
      <c r="J35" s="84"/>
      <c r="K35" s="46"/>
      <c r="L35" s="46"/>
      <c r="M35" s="46"/>
      <c r="N35" s="46"/>
      <c r="O35" s="46"/>
      <c r="P35" s="46"/>
      <c r="Q35" s="83"/>
      <c r="R35"/>
      <c r="S35" s="84"/>
      <c r="T35" s="46"/>
      <c r="U35" s="46"/>
      <c r="V35" s="46"/>
      <c r="W35" s="46"/>
      <c r="X35" s="46"/>
      <c r="Y35" s="46"/>
      <c r="Z35" s="83"/>
    </row>
    <row r="36" spans="1:26" ht="15.75" customHeight="1" x14ac:dyDescent="0.3">
      <c r="A36" s="84"/>
      <c r="B36" s="46"/>
      <c r="C36" s="46"/>
      <c r="D36" s="46"/>
      <c r="E36" s="46"/>
      <c r="F36" s="46"/>
      <c r="G36" s="46"/>
      <c r="H36" s="83"/>
      <c r="I36"/>
      <c r="J36" s="84"/>
      <c r="K36" s="46"/>
      <c r="L36" s="46"/>
      <c r="M36" s="46"/>
      <c r="N36" s="46"/>
      <c r="O36" s="46"/>
      <c r="P36" s="46"/>
      <c r="Q36" s="83"/>
      <c r="R36"/>
      <c r="S36" s="84"/>
      <c r="T36" s="46"/>
      <c r="U36" s="46"/>
      <c r="V36" s="46"/>
      <c r="W36" s="46"/>
      <c r="X36" s="46"/>
      <c r="Y36" s="46"/>
      <c r="Z36" s="83"/>
    </row>
    <row r="37" spans="1:26" ht="15.75" customHeight="1" x14ac:dyDescent="0.3">
      <c r="A37" s="84"/>
      <c r="B37" s="46"/>
      <c r="C37" s="46"/>
      <c r="D37" s="46"/>
      <c r="E37" s="46"/>
      <c r="F37" s="46"/>
      <c r="G37" s="46"/>
      <c r="H37" s="83"/>
      <c r="I37"/>
      <c r="J37" s="84"/>
      <c r="K37" s="46"/>
      <c r="L37" s="46"/>
      <c r="M37" s="46"/>
      <c r="N37" s="46"/>
      <c r="O37" s="46"/>
      <c r="P37" s="46"/>
      <c r="Q37" s="83"/>
      <c r="R37"/>
      <c r="S37" s="84"/>
      <c r="T37" s="46"/>
      <c r="U37" s="46"/>
      <c r="V37" s="46"/>
      <c r="W37" s="46"/>
      <c r="X37" s="46"/>
      <c r="Y37" s="46"/>
      <c r="Z37" s="83"/>
    </row>
    <row r="38" spans="1:26" ht="15.75" customHeight="1" x14ac:dyDescent="0.3">
      <c r="A38" s="84"/>
      <c r="B38" s="46"/>
      <c r="C38" s="46"/>
      <c r="D38" s="46"/>
      <c r="E38" s="46"/>
      <c r="F38" s="46"/>
      <c r="G38" s="46"/>
      <c r="H38" s="83"/>
      <c r="I38"/>
      <c r="J38" s="84"/>
      <c r="K38" s="46"/>
      <c r="L38" s="46"/>
      <c r="M38" s="46"/>
      <c r="N38" s="46"/>
      <c r="O38" s="46"/>
      <c r="P38" s="46"/>
      <c r="Q38" s="83"/>
      <c r="R38"/>
      <c r="S38" s="84"/>
      <c r="T38" s="46"/>
      <c r="U38" s="46"/>
      <c r="V38" s="46"/>
      <c r="W38" s="46"/>
      <c r="X38" s="46"/>
      <c r="Y38" s="46"/>
      <c r="Z38" s="83"/>
    </row>
    <row r="39" spans="1:26" ht="15.75" customHeight="1" x14ac:dyDescent="0.3">
      <c r="A39" s="84"/>
      <c r="B39" s="46"/>
      <c r="C39" s="46"/>
      <c r="D39" s="46"/>
      <c r="E39" s="46"/>
      <c r="F39" s="46"/>
      <c r="G39" s="46"/>
      <c r="H39" s="83"/>
      <c r="I39"/>
      <c r="J39" s="84"/>
      <c r="K39" s="46"/>
      <c r="L39" s="46"/>
      <c r="M39" s="46"/>
      <c r="N39" s="46"/>
      <c r="O39" s="46"/>
      <c r="P39" s="46"/>
      <c r="Q39" s="83"/>
      <c r="R39"/>
      <c r="S39" s="84"/>
      <c r="T39" s="46"/>
      <c r="U39" s="46"/>
      <c r="V39" s="46"/>
      <c r="W39" s="46"/>
      <c r="X39" s="46"/>
      <c r="Y39" s="46"/>
      <c r="Z39" s="83"/>
    </row>
    <row r="40" spans="1:26" ht="15.75" customHeight="1" x14ac:dyDescent="0.3">
      <c r="A40" s="84"/>
      <c r="B40" s="46"/>
      <c r="C40" s="46"/>
      <c r="D40" s="46"/>
      <c r="E40" s="46"/>
      <c r="F40" s="46"/>
      <c r="G40" s="46"/>
      <c r="H40" s="83"/>
      <c r="I40"/>
      <c r="J40" s="84"/>
      <c r="K40" s="46"/>
      <c r="L40" s="46"/>
      <c r="M40" s="46"/>
      <c r="N40" s="46"/>
      <c r="O40" s="46"/>
      <c r="P40" s="46"/>
      <c r="Q40" s="83"/>
      <c r="R40"/>
      <c r="S40" s="84"/>
      <c r="T40" s="46"/>
      <c r="U40" s="46"/>
      <c r="V40" s="46"/>
      <c r="W40" s="46"/>
      <c r="X40" s="46"/>
      <c r="Y40" s="46"/>
      <c r="Z40" s="83"/>
    </row>
    <row r="41" spans="1:26" ht="15.75" customHeight="1" x14ac:dyDescent="0.3">
      <c r="A41" s="84"/>
      <c r="B41" s="46"/>
      <c r="C41" s="46"/>
      <c r="D41" s="46"/>
      <c r="E41" s="46"/>
      <c r="F41" s="46"/>
      <c r="G41" s="46"/>
      <c r="H41" s="83"/>
      <c r="I41"/>
      <c r="J41" s="84"/>
      <c r="K41" s="46"/>
      <c r="L41" s="46"/>
      <c r="M41" s="46"/>
      <c r="N41" s="46"/>
      <c r="O41" s="46"/>
      <c r="P41" s="46"/>
      <c r="Q41" s="83"/>
      <c r="R41"/>
      <c r="S41" s="84"/>
      <c r="T41" s="46"/>
      <c r="U41" s="46"/>
      <c r="V41" s="46"/>
      <c r="W41" s="46"/>
      <c r="X41" s="46"/>
      <c r="Y41" s="46"/>
      <c r="Z41" s="83"/>
    </row>
    <row r="42" spans="1:26" ht="15.75" customHeight="1" x14ac:dyDescent="0.3">
      <c r="A42" s="84"/>
      <c r="B42" s="46"/>
      <c r="C42" s="46"/>
      <c r="D42" s="46"/>
      <c r="E42" s="46"/>
      <c r="F42" s="46"/>
      <c r="G42" s="46"/>
      <c r="H42" s="83"/>
      <c r="I42"/>
      <c r="J42" s="84"/>
      <c r="K42" s="46"/>
      <c r="L42" s="46"/>
      <c r="M42" s="46"/>
      <c r="N42" s="46"/>
      <c r="O42" s="46"/>
      <c r="P42" s="46"/>
      <c r="Q42" s="83"/>
      <c r="R42"/>
      <c r="S42" s="84"/>
      <c r="T42" s="46"/>
      <c r="U42" s="46"/>
      <c r="V42" s="46"/>
      <c r="W42" s="46"/>
      <c r="X42" s="46"/>
      <c r="Y42" s="46"/>
      <c r="Z42" s="83"/>
    </row>
    <row r="43" spans="1:26" ht="15.75" customHeight="1" x14ac:dyDescent="0.3">
      <c r="A43" s="84"/>
      <c r="B43" s="46"/>
      <c r="C43" s="46"/>
      <c r="D43" s="46"/>
      <c r="E43" s="46"/>
      <c r="F43" s="46"/>
      <c r="G43" s="46"/>
      <c r="H43" s="83"/>
      <c r="I43"/>
      <c r="J43" s="84"/>
      <c r="K43" s="46"/>
      <c r="L43" s="46"/>
      <c r="M43" s="46"/>
      <c r="N43" s="46"/>
      <c r="O43" s="46"/>
      <c r="P43" s="46"/>
      <c r="Q43" s="83"/>
      <c r="R43"/>
      <c r="S43" s="84"/>
      <c r="T43" s="46"/>
      <c r="U43" s="46"/>
      <c r="V43" s="46"/>
      <c r="W43" s="46"/>
      <c r="X43" s="46"/>
      <c r="Y43" s="46"/>
      <c r="Z43" s="83"/>
    </row>
    <row r="44" spans="1:26" ht="15.75" customHeight="1" x14ac:dyDescent="0.3">
      <c r="A44" s="84"/>
      <c r="B44" s="46"/>
      <c r="C44" s="46"/>
      <c r="D44" s="46"/>
      <c r="E44" s="46"/>
      <c r="F44" s="46"/>
      <c r="G44" s="46"/>
      <c r="H44" s="83"/>
      <c r="I44"/>
      <c r="J44" s="84"/>
      <c r="K44" s="46"/>
      <c r="L44" s="46"/>
      <c r="M44" s="46"/>
      <c r="N44" s="46"/>
      <c r="O44" s="46"/>
      <c r="P44" s="46"/>
      <c r="Q44" s="83"/>
      <c r="R44"/>
      <c r="S44" s="84"/>
      <c r="T44" s="46"/>
      <c r="U44" s="46"/>
      <c r="V44" s="46"/>
      <c r="W44" s="46"/>
      <c r="X44" s="46"/>
      <c r="Y44" s="46"/>
      <c r="Z44" s="83"/>
    </row>
    <row r="45" spans="1:26" ht="15.75" customHeight="1" x14ac:dyDescent="0.3">
      <c r="A45" s="84"/>
      <c r="B45" s="46"/>
      <c r="C45" s="46"/>
      <c r="D45" s="46"/>
      <c r="E45" s="46"/>
      <c r="F45" s="46"/>
      <c r="G45" s="46"/>
      <c r="H45" s="83"/>
      <c r="I45"/>
      <c r="J45" s="84"/>
      <c r="K45" s="46"/>
      <c r="L45" s="46"/>
      <c r="M45" s="46"/>
      <c r="N45" s="46"/>
      <c r="O45" s="46"/>
      <c r="P45" s="46"/>
      <c r="Q45" s="83"/>
      <c r="R45"/>
      <c r="S45" s="84"/>
      <c r="T45" s="46"/>
      <c r="U45" s="46"/>
      <c r="V45" s="46"/>
      <c r="W45" s="46"/>
      <c r="X45" s="46"/>
      <c r="Y45" s="46"/>
      <c r="Z45" s="83"/>
    </row>
    <row r="46" spans="1:26" ht="15.75" customHeight="1" thickBot="1" x14ac:dyDescent="0.35">
      <c r="A46" s="82"/>
      <c r="B46" s="81"/>
      <c r="C46" s="81"/>
      <c r="D46" s="81"/>
      <c r="E46" s="81"/>
      <c r="F46" s="81"/>
      <c r="G46" s="81"/>
      <c r="H46" s="80"/>
      <c r="I46"/>
      <c r="J46" s="82"/>
      <c r="K46" s="81"/>
      <c r="L46" s="81"/>
      <c r="M46" s="81"/>
      <c r="N46" s="81"/>
      <c r="O46" s="81"/>
      <c r="P46" s="81"/>
      <c r="Q46" s="80"/>
      <c r="R46"/>
      <c r="S46" s="82"/>
      <c r="T46" s="81"/>
      <c r="U46" s="81"/>
      <c r="V46" s="81"/>
      <c r="W46" s="81"/>
      <c r="X46" s="81"/>
      <c r="Y46" s="81"/>
      <c r="Z46" s="80"/>
    </row>
    <row r="47" spans="1:26" ht="15.75" customHeight="1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ht="15.75" customHeight="1" thickBot="1" x14ac:dyDescent="0.3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ht="15.75" customHeight="1" x14ac:dyDescent="0.3">
      <c r="A49" s="87"/>
      <c r="B49" s="86"/>
      <c r="C49" s="232" t="s">
        <v>236</v>
      </c>
      <c r="D49" s="234"/>
      <c r="E49" s="86"/>
      <c r="F49" s="86"/>
      <c r="G49" s="86"/>
      <c r="H49" s="85"/>
      <c r="I49"/>
      <c r="J49" s="87"/>
      <c r="K49" s="86"/>
      <c r="L49" s="86"/>
      <c r="M49" s="256" t="s">
        <v>237</v>
      </c>
      <c r="N49" s="257"/>
      <c r="O49" s="86"/>
      <c r="P49" s="86"/>
      <c r="Q49" s="85"/>
      <c r="R49"/>
      <c r="S49" s="87"/>
      <c r="T49" s="86"/>
      <c r="U49" s="86"/>
      <c r="V49" s="238" t="s">
        <v>238</v>
      </c>
      <c r="W49" s="240"/>
      <c r="X49" s="86"/>
      <c r="Y49" s="86"/>
      <c r="Z49" s="85"/>
    </row>
    <row r="50" spans="1:26" ht="15.75" customHeight="1" thickBot="1" x14ac:dyDescent="0.35">
      <c r="A50" s="84"/>
      <c r="B50" s="46"/>
      <c r="C50" s="235"/>
      <c r="D50" s="237"/>
      <c r="E50" s="46"/>
      <c r="F50" s="46"/>
      <c r="G50" s="46"/>
      <c r="H50" s="83"/>
      <c r="I50"/>
      <c r="J50" s="84"/>
      <c r="K50" s="46"/>
      <c r="L50" s="46"/>
      <c r="M50" s="258"/>
      <c r="N50" s="259"/>
      <c r="O50" s="46"/>
      <c r="P50" s="46"/>
      <c r="Q50" s="83"/>
      <c r="R50"/>
      <c r="S50" s="84"/>
      <c r="T50" s="46"/>
      <c r="U50" s="46"/>
      <c r="V50" s="241"/>
      <c r="W50" s="243"/>
      <c r="X50" s="46"/>
      <c r="Y50" s="46"/>
      <c r="Z50" s="83"/>
    </row>
    <row r="51" spans="1:26" ht="15.75" customHeight="1" x14ac:dyDescent="0.3">
      <c r="A51" s="84"/>
      <c r="B51" s="46"/>
      <c r="C51" s="46"/>
      <c r="D51" s="46"/>
      <c r="E51" s="46"/>
      <c r="F51" s="46"/>
      <c r="G51" s="46"/>
      <c r="H51" s="83"/>
      <c r="I51"/>
      <c r="J51" s="84"/>
      <c r="K51" s="46"/>
      <c r="L51" s="46"/>
      <c r="M51" s="46"/>
      <c r="N51" s="46"/>
      <c r="O51" s="46"/>
      <c r="P51" s="46"/>
      <c r="Q51" s="83"/>
      <c r="R51"/>
      <c r="S51" s="84"/>
      <c r="T51" s="46"/>
      <c r="U51" s="46"/>
      <c r="V51" s="46"/>
      <c r="W51" s="46"/>
      <c r="X51" s="46"/>
      <c r="Y51" s="46"/>
      <c r="Z51" s="83"/>
    </row>
    <row r="52" spans="1:26" ht="15.75" customHeight="1" x14ac:dyDescent="0.3">
      <c r="A52" s="84"/>
      <c r="B52" s="46"/>
      <c r="C52" s="46"/>
      <c r="D52" s="46"/>
      <c r="E52" s="46"/>
      <c r="F52" s="46"/>
      <c r="G52" s="46"/>
      <c r="H52" s="83"/>
      <c r="I52"/>
      <c r="J52" s="84"/>
      <c r="K52" s="46"/>
      <c r="L52" s="46"/>
      <c r="M52" s="46"/>
      <c r="N52" s="46"/>
      <c r="O52" s="46"/>
      <c r="P52" s="46"/>
      <c r="Q52" s="83"/>
      <c r="R52"/>
      <c r="S52" s="84"/>
      <c r="T52" s="46"/>
      <c r="U52" s="46"/>
      <c r="V52" s="46"/>
      <c r="W52" s="46"/>
      <c r="X52" s="46"/>
      <c r="Y52" s="46"/>
      <c r="Z52" s="83"/>
    </row>
    <row r="53" spans="1:26" ht="15.75" customHeight="1" x14ac:dyDescent="0.3">
      <c r="A53" s="84"/>
      <c r="B53" s="46"/>
      <c r="C53" s="46"/>
      <c r="D53" s="46"/>
      <c r="E53" s="46"/>
      <c r="F53" s="46"/>
      <c r="G53" s="46"/>
      <c r="H53" s="83"/>
      <c r="I53"/>
      <c r="J53" s="84"/>
      <c r="K53" s="46"/>
      <c r="L53" s="46"/>
      <c r="M53" s="46"/>
      <c r="N53" s="46"/>
      <c r="O53" s="46"/>
      <c r="P53" s="46"/>
      <c r="Q53" s="83"/>
      <c r="R53"/>
      <c r="S53" s="84"/>
      <c r="T53" s="46"/>
      <c r="U53" s="46"/>
      <c r="V53" s="46"/>
      <c r="W53" s="46"/>
      <c r="X53" s="46"/>
      <c r="Y53" s="46"/>
      <c r="Z53" s="83"/>
    </row>
    <row r="54" spans="1:26" ht="15.75" customHeight="1" x14ac:dyDescent="0.3">
      <c r="A54" s="84"/>
      <c r="B54" s="46"/>
      <c r="C54" s="46"/>
      <c r="D54" s="46"/>
      <c r="E54" s="46"/>
      <c r="F54" s="46"/>
      <c r="G54" s="46"/>
      <c r="H54" s="83"/>
      <c r="I54"/>
      <c r="J54" s="84"/>
      <c r="K54" s="46"/>
      <c r="L54" s="46"/>
      <c r="M54" s="46"/>
      <c r="N54" s="46"/>
      <c r="O54" s="46"/>
      <c r="P54" s="46"/>
      <c r="Q54" s="83"/>
      <c r="R54"/>
      <c r="S54" s="84"/>
      <c r="T54" s="46"/>
      <c r="U54" s="46"/>
      <c r="V54" s="46"/>
      <c r="W54" s="46"/>
      <c r="X54" s="46"/>
      <c r="Y54" s="46"/>
      <c r="Z54" s="83"/>
    </row>
    <row r="55" spans="1:26" ht="15.75" customHeight="1" x14ac:dyDescent="0.3">
      <c r="A55" s="84"/>
      <c r="B55" s="46"/>
      <c r="C55" s="46"/>
      <c r="D55" s="46"/>
      <c r="E55" s="46"/>
      <c r="F55" s="46"/>
      <c r="G55" s="46"/>
      <c r="H55" s="83"/>
      <c r="I55"/>
      <c r="J55" s="84"/>
      <c r="K55" s="46"/>
      <c r="L55" s="46"/>
      <c r="M55" s="46"/>
      <c r="N55" s="46"/>
      <c r="O55" s="46"/>
      <c r="P55" s="46"/>
      <c r="Q55" s="83"/>
      <c r="R55"/>
      <c r="S55" s="84"/>
      <c r="T55" s="46"/>
      <c r="U55" s="46"/>
      <c r="V55" s="46"/>
      <c r="W55" s="46"/>
      <c r="X55" s="46"/>
      <c r="Y55" s="46"/>
      <c r="Z55" s="83"/>
    </row>
    <row r="56" spans="1:26" ht="15.75" customHeight="1" x14ac:dyDescent="0.3">
      <c r="A56" s="84"/>
      <c r="B56" s="46"/>
      <c r="C56" s="46"/>
      <c r="D56" s="46"/>
      <c r="E56" s="46"/>
      <c r="F56" s="46"/>
      <c r="G56" s="46"/>
      <c r="H56" s="83"/>
      <c r="I56"/>
      <c r="J56" s="84"/>
      <c r="K56" s="46"/>
      <c r="L56" s="46"/>
      <c r="M56" s="46"/>
      <c r="N56" s="46"/>
      <c r="O56" s="46"/>
      <c r="P56" s="46"/>
      <c r="Q56" s="83"/>
      <c r="R56"/>
      <c r="S56" s="84"/>
      <c r="T56" s="46"/>
      <c r="U56" s="46"/>
      <c r="V56" s="46"/>
      <c r="W56" s="46"/>
      <c r="X56" s="46"/>
      <c r="Y56" s="46"/>
      <c r="Z56" s="83"/>
    </row>
    <row r="57" spans="1:26" ht="15.75" customHeight="1" x14ac:dyDescent="0.3">
      <c r="A57" s="84"/>
      <c r="B57" s="46"/>
      <c r="C57" s="46"/>
      <c r="D57" s="46"/>
      <c r="E57" s="46"/>
      <c r="F57" s="46"/>
      <c r="G57" s="46"/>
      <c r="H57" s="83"/>
      <c r="I57"/>
      <c r="J57" s="84"/>
      <c r="K57" s="46"/>
      <c r="L57" s="46"/>
      <c r="M57" s="46"/>
      <c r="N57" s="46"/>
      <c r="O57" s="46"/>
      <c r="P57" s="46"/>
      <c r="Q57" s="83"/>
      <c r="R57"/>
      <c r="S57" s="84"/>
      <c r="T57" s="46"/>
      <c r="U57" s="46"/>
      <c r="V57" s="46"/>
      <c r="W57" s="46"/>
      <c r="X57" s="46"/>
      <c r="Y57" s="46"/>
      <c r="Z57" s="83"/>
    </row>
    <row r="58" spans="1:26" ht="15.75" customHeight="1" x14ac:dyDescent="0.3">
      <c r="A58" s="84"/>
      <c r="B58" s="46"/>
      <c r="C58" s="46"/>
      <c r="D58" s="46"/>
      <c r="E58" s="46"/>
      <c r="F58" s="46"/>
      <c r="G58" s="46"/>
      <c r="H58" s="83"/>
      <c r="I58"/>
      <c r="J58" s="84"/>
      <c r="K58" s="46"/>
      <c r="L58" s="46"/>
      <c r="M58" s="46"/>
      <c r="N58" s="46"/>
      <c r="O58" s="46"/>
      <c r="P58" s="46"/>
      <c r="Q58" s="83"/>
      <c r="R58"/>
      <c r="S58" s="84"/>
      <c r="T58" s="46"/>
      <c r="U58" s="46"/>
      <c r="V58" s="46"/>
      <c r="W58" s="46"/>
      <c r="X58" s="46"/>
      <c r="Y58" s="46"/>
      <c r="Z58" s="83"/>
    </row>
    <row r="59" spans="1:26" ht="15.75" customHeight="1" x14ac:dyDescent="0.3">
      <c r="A59" s="84"/>
      <c r="B59" s="46"/>
      <c r="C59" s="46"/>
      <c r="D59" s="46"/>
      <c r="E59" s="46"/>
      <c r="F59" s="46"/>
      <c r="G59" s="46"/>
      <c r="H59" s="83"/>
      <c r="I59"/>
      <c r="J59" s="84"/>
      <c r="K59" s="46"/>
      <c r="L59" s="46"/>
      <c r="M59" s="46"/>
      <c r="N59" s="46"/>
      <c r="O59" s="46"/>
      <c r="P59" s="46"/>
      <c r="Q59" s="83"/>
      <c r="R59"/>
      <c r="S59" s="84"/>
      <c r="T59" s="46"/>
      <c r="U59" s="46"/>
      <c r="V59" s="46"/>
      <c r="W59" s="46"/>
      <c r="X59" s="46"/>
      <c r="Y59" s="46"/>
      <c r="Z59" s="83"/>
    </row>
    <row r="60" spans="1:26" ht="15.75" customHeight="1" x14ac:dyDescent="0.3">
      <c r="A60" s="84"/>
      <c r="B60" s="46"/>
      <c r="C60" s="46"/>
      <c r="D60" s="46"/>
      <c r="E60" s="46"/>
      <c r="F60" s="46"/>
      <c r="G60" s="46"/>
      <c r="H60" s="83"/>
      <c r="I60"/>
      <c r="J60" s="84"/>
      <c r="K60" s="46"/>
      <c r="L60" s="46"/>
      <c r="M60" s="46"/>
      <c r="N60" s="46"/>
      <c r="O60" s="46"/>
      <c r="P60" s="46"/>
      <c r="Q60" s="83"/>
      <c r="R60"/>
      <c r="S60" s="84"/>
      <c r="T60" s="46"/>
      <c r="U60" s="46"/>
      <c r="V60" s="46"/>
      <c r="W60" s="46"/>
      <c r="X60" s="46"/>
      <c r="Y60" s="46"/>
      <c r="Z60" s="83"/>
    </row>
    <row r="61" spans="1:26" ht="15.75" customHeight="1" x14ac:dyDescent="0.3">
      <c r="A61" s="84"/>
      <c r="B61" s="46"/>
      <c r="C61" s="46"/>
      <c r="D61" s="46"/>
      <c r="E61" s="46"/>
      <c r="F61" s="46"/>
      <c r="G61" s="46"/>
      <c r="H61" s="83"/>
      <c r="I61"/>
      <c r="J61" s="84"/>
      <c r="K61" s="46"/>
      <c r="L61" s="46"/>
      <c r="M61" s="46"/>
      <c r="N61" s="46"/>
      <c r="O61" s="46"/>
      <c r="P61" s="46"/>
      <c r="Q61" s="83"/>
      <c r="R61"/>
      <c r="S61" s="84"/>
      <c r="T61" s="46"/>
      <c r="U61" s="46"/>
      <c r="V61" s="46"/>
      <c r="W61" s="46"/>
      <c r="X61" s="46"/>
      <c r="Y61" s="46"/>
      <c r="Z61" s="83"/>
    </row>
    <row r="62" spans="1:26" ht="15.75" customHeight="1" x14ac:dyDescent="0.3">
      <c r="A62" s="84"/>
      <c r="B62" s="46"/>
      <c r="C62" s="46"/>
      <c r="D62" s="46"/>
      <c r="E62" s="46"/>
      <c r="F62" s="46"/>
      <c r="G62" s="46"/>
      <c r="H62" s="83"/>
      <c r="I62"/>
      <c r="J62" s="84"/>
      <c r="K62" s="46"/>
      <c r="L62" s="46"/>
      <c r="M62" s="46"/>
      <c r="N62" s="46"/>
      <c r="O62" s="46"/>
      <c r="P62" s="46"/>
      <c r="Q62" s="83"/>
      <c r="R62"/>
      <c r="S62" s="84"/>
      <c r="T62" s="46"/>
      <c r="U62" s="46"/>
      <c r="V62" s="46"/>
      <c r="W62" s="46"/>
      <c r="X62" s="46"/>
      <c r="Y62" s="46"/>
      <c r="Z62" s="83"/>
    </row>
    <row r="63" spans="1:26" ht="15.75" customHeight="1" x14ac:dyDescent="0.3">
      <c r="A63" s="84"/>
      <c r="B63" s="46"/>
      <c r="C63" s="46"/>
      <c r="D63" s="46"/>
      <c r="E63" s="46"/>
      <c r="F63" s="46"/>
      <c r="G63" s="46"/>
      <c r="H63" s="83"/>
      <c r="I63"/>
      <c r="J63" s="84"/>
      <c r="K63" s="46"/>
      <c r="L63" s="46"/>
      <c r="M63" s="46"/>
      <c r="N63" s="46"/>
      <c r="O63" s="46"/>
      <c r="P63" s="46"/>
      <c r="Q63" s="83"/>
      <c r="R63"/>
      <c r="S63" s="84"/>
      <c r="T63" s="46"/>
      <c r="U63" s="46"/>
      <c r="V63" s="46"/>
      <c r="W63" s="46"/>
      <c r="X63" s="46"/>
      <c r="Y63" s="46"/>
      <c r="Z63" s="83"/>
    </row>
    <row r="64" spans="1:26" ht="15.75" customHeight="1" x14ac:dyDescent="0.3">
      <c r="A64" s="84"/>
      <c r="B64" s="46"/>
      <c r="C64" s="46"/>
      <c r="D64" s="46"/>
      <c r="E64" s="46"/>
      <c r="F64" s="46"/>
      <c r="G64" s="46"/>
      <c r="H64" s="83"/>
      <c r="I64"/>
      <c r="J64" s="84"/>
      <c r="K64" s="46"/>
      <c r="L64" s="46"/>
      <c r="M64" s="46"/>
      <c r="N64" s="46"/>
      <c r="O64" s="46"/>
      <c r="P64" s="46"/>
      <c r="Q64" s="83"/>
      <c r="R64"/>
      <c r="S64" s="84"/>
      <c r="T64" s="46"/>
      <c r="U64" s="46"/>
      <c r="V64" s="46"/>
      <c r="W64" s="46"/>
      <c r="X64" s="46"/>
      <c r="Y64" s="46"/>
      <c r="Z64" s="83"/>
    </row>
    <row r="65" spans="1:26" ht="15.75" customHeight="1" x14ac:dyDescent="0.3">
      <c r="A65" s="84"/>
      <c r="B65" s="46"/>
      <c r="C65" s="46"/>
      <c r="D65" s="46"/>
      <c r="E65" s="46"/>
      <c r="F65" s="46"/>
      <c r="G65" s="46"/>
      <c r="H65" s="83"/>
      <c r="I65"/>
      <c r="J65" s="84"/>
      <c r="K65" s="46"/>
      <c r="L65" s="46"/>
      <c r="M65" s="46"/>
      <c r="N65" s="46"/>
      <c r="O65" s="46"/>
      <c r="P65" s="46"/>
      <c r="Q65" s="83"/>
      <c r="R65"/>
      <c r="S65" s="84"/>
      <c r="T65" s="46"/>
      <c r="U65" s="46"/>
      <c r="V65" s="46"/>
      <c r="W65" s="46"/>
      <c r="X65" s="46"/>
      <c r="Y65" s="46"/>
      <c r="Z65" s="83"/>
    </row>
    <row r="66" spans="1:26" ht="15.75" customHeight="1" thickBot="1" x14ac:dyDescent="0.35">
      <c r="A66" s="82"/>
      <c r="B66" s="81"/>
      <c r="C66" s="81"/>
      <c r="D66" s="81"/>
      <c r="E66" s="81"/>
      <c r="F66" s="81"/>
      <c r="G66" s="81"/>
      <c r="H66" s="80"/>
      <c r="I66"/>
      <c r="J66" s="82"/>
      <c r="K66" s="81"/>
      <c r="L66" s="81"/>
      <c r="M66" s="81"/>
      <c r="N66" s="81"/>
      <c r="O66" s="81"/>
      <c r="P66" s="81"/>
      <c r="Q66" s="80"/>
      <c r="R66"/>
      <c r="S66" s="82"/>
      <c r="T66" s="81"/>
      <c r="U66" s="81"/>
      <c r="V66" s="81"/>
      <c r="W66" s="81"/>
      <c r="X66" s="81"/>
      <c r="Y66" s="81"/>
      <c r="Z66" s="80"/>
    </row>
    <row r="67" spans="1:26" ht="15.75" customHeight="1" x14ac:dyDescent="0.3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1:26" ht="15.75" customHeight="1" thickBot="1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1:26" ht="15.75" customHeight="1" x14ac:dyDescent="0.3">
      <c r="A69" s="87"/>
      <c r="B69" s="86"/>
      <c r="C69" s="86"/>
      <c r="D69" s="232" t="s">
        <v>239</v>
      </c>
      <c r="E69" s="234"/>
      <c r="F69" s="86"/>
      <c r="G69" s="86"/>
      <c r="H69" s="85"/>
      <c r="I69"/>
      <c r="J69" s="87"/>
      <c r="K69" s="86"/>
      <c r="L69" s="86"/>
      <c r="M69" s="232" t="s">
        <v>24</v>
      </c>
      <c r="N69" s="234"/>
      <c r="O69" s="86"/>
      <c r="P69" s="86"/>
      <c r="Q69" s="85"/>
      <c r="R69"/>
      <c r="S69" s="87"/>
      <c r="T69" s="86"/>
      <c r="U69" s="232" t="s">
        <v>240</v>
      </c>
      <c r="V69" s="233"/>
      <c r="W69" s="233"/>
      <c r="X69" s="234"/>
      <c r="Y69" s="86"/>
      <c r="Z69" s="85"/>
    </row>
    <row r="70" spans="1:26" ht="15.75" customHeight="1" thickBot="1" x14ac:dyDescent="0.35">
      <c r="A70" s="84"/>
      <c r="B70" s="46"/>
      <c r="C70" s="46"/>
      <c r="D70" s="235"/>
      <c r="E70" s="237"/>
      <c r="F70" s="46"/>
      <c r="G70" s="46"/>
      <c r="H70" s="83"/>
      <c r="I70"/>
      <c r="J70" s="84"/>
      <c r="K70" s="46"/>
      <c r="L70" s="46"/>
      <c r="M70" s="235"/>
      <c r="N70" s="237"/>
      <c r="O70" s="46"/>
      <c r="P70" s="46"/>
      <c r="Q70" s="83"/>
      <c r="R70"/>
      <c r="S70" s="84"/>
      <c r="T70" s="46"/>
      <c r="U70" s="235"/>
      <c r="V70" s="236"/>
      <c r="W70" s="236"/>
      <c r="X70" s="237"/>
      <c r="Y70" s="46"/>
      <c r="Z70" s="83"/>
    </row>
    <row r="71" spans="1:26" ht="15.75" customHeight="1" x14ac:dyDescent="0.3">
      <c r="A71" s="84"/>
      <c r="B71" s="46"/>
      <c r="C71" s="46"/>
      <c r="D71" s="46"/>
      <c r="E71" s="46"/>
      <c r="F71" s="46"/>
      <c r="G71" s="46"/>
      <c r="H71" s="83"/>
      <c r="I71"/>
      <c r="J71" s="84"/>
      <c r="K71" s="46"/>
      <c r="L71" s="46"/>
      <c r="M71" s="46"/>
      <c r="N71" s="46"/>
      <c r="O71" s="46"/>
      <c r="P71" s="46"/>
      <c r="Q71" s="83"/>
      <c r="R71"/>
      <c r="S71" s="84"/>
      <c r="T71" s="46"/>
      <c r="U71" s="46"/>
      <c r="V71" s="46"/>
      <c r="W71" s="46"/>
      <c r="X71" s="46"/>
      <c r="Y71" s="46"/>
      <c r="Z71" s="83"/>
    </row>
    <row r="72" spans="1:26" ht="15.75" customHeight="1" x14ac:dyDescent="0.3">
      <c r="A72" s="84"/>
      <c r="B72" s="46"/>
      <c r="C72" s="46"/>
      <c r="D72" s="46"/>
      <c r="E72" s="46"/>
      <c r="F72" s="46"/>
      <c r="G72" s="46"/>
      <c r="H72" s="83"/>
      <c r="I72"/>
      <c r="J72" s="84"/>
      <c r="K72" s="46"/>
      <c r="L72" s="46"/>
      <c r="M72" s="46"/>
      <c r="N72" s="46"/>
      <c r="O72" s="46"/>
      <c r="P72" s="46"/>
      <c r="Q72" s="83"/>
      <c r="R72"/>
      <c r="S72" s="84"/>
      <c r="T72" s="46"/>
      <c r="U72" s="46"/>
      <c r="V72" s="46"/>
      <c r="W72" s="46"/>
      <c r="X72" s="46"/>
      <c r="Y72" s="46"/>
      <c r="Z72" s="83"/>
    </row>
    <row r="73" spans="1:26" ht="15.75" customHeight="1" x14ac:dyDescent="0.3">
      <c r="A73" s="84"/>
      <c r="B73" s="46"/>
      <c r="C73" s="46"/>
      <c r="D73" s="46"/>
      <c r="E73" s="46"/>
      <c r="F73" s="46"/>
      <c r="G73" s="46"/>
      <c r="H73" s="83"/>
      <c r="I73"/>
      <c r="J73" s="84"/>
      <c r="K73" s="46"/>
      <c r="L73" s="46"/>
      <c r="M73" s="46"/>
      <c r="N73" s="46"/>
      <c r="O73" s="46"/>
      <c r="P73" s="46"/>
      <c r="Q73" s="83"/>
      <c r="R73"/>
      <c r="S73" s="84"/>
      <c r="T73" s="46"/>
      <c r="U73" s="46"/>
      <c r="V73" s="46"/>
      <c r="W73" s="46"/>
      <c r="X73" s="46"/>
      <c r="Y73" s="46"/>
      <c r="Z73" s="83"/>
    </row>
    <row r="74" spans="1:26" ht="15.75" customHeight="1" x14ac:dyDescent="0.3">
      <c r="A74" s="84"/>
      <c r="B74" s="46"/>
      <c r="C74" s="46"/>
      <c r="D74" s="46"/>
      <c r="E74" s="46"/>
      <c r="F74" s="46"/>
      <c r="G74" s="46"/>
      <c r="H74" s="83"/>
      <c r="I74"/>
      <c r="J74" s="84"/>
      <c r="K74" s="46"/>
      <c r="L74" s="46"/>
      <c r="M74" s="46"/>
      <c r="N74" s="46"/>
      <c r="O74" s="46"/>
      <c r="P74" s="46"/>
      <c r="Q74" s="83"/>
      <c r="R74"/>
      <c r="S74" s="84"/>
      <c r="T74" s="46"/>
      <c r="U74" s="46"/>
      <c r="V74" s="46"/>
      <c r="W74" s="46"/>
      <c r="X74" s="46"/>
      <c r="Y74" s="46"/>
      <c r="Z74" s="83"/>
    </row>
    <row r="75" spans="1:26" ht="15.75" customHeight="1" x14ac:dyDescent="0.3">
      <c r="A75" s="84"/>
      <c r="B75" s="46"/>
      <c r="C75" s="46"/>
      <c r="D75" s="46"/>
      <c r="E75" s="46"/>
      <c r="F75" s="46"/>
      <c r="G75" s="46"/>
      <c r="H75" s="83"/>
      <c r="I75"/>
      <c r="J75" s="84"/>
      <c r="K75" s="46"/>
      <c r="L75" s="46"/>
      <c r="M75" s="46"/>
      <c r="N75" s="46"/>
      <c r="O75" s="46"/>
      <c r="P75" s="46"/>
      <c r="Q75" s="83"/>
      <c r="R75"/>
      <c r="S75" s="84"/>
      <c r="T75" s="46"/>
      <c r="U75" s="46"/>
      <c r="V75" s="46"/>
      <c r="W75" s="46"/>
      <c r="X75" s="46"/>
      <c r="Y75" s="46"/>
      <c r="Z75" s="83"/>
    </row>
    <row r="76" spans="1:26" ht="15.75" customHeight="1" x14ac:dyDescent="0.3">
      <c r="A76" s="84"/>
      <c r="B76" s="46"/>
      <c r="C76" s="46"/>
      <c r="D76" s="46"/>
      <c r="E76" s="46"/>
      <c r="F76" s="46"/>
      <c r="G76" s="46"/>
      <c r="H76" s="83"/>
      <c r="I76"/>
      <c r="J76" s="84"/>
      <c r="K76" s="46"/>
      <c r="L76" s="46"/>
      <c r="M76" s="46"/>
      <c r="N76" s="46"/>
      <c r="O76" s="46"/>
      <c r="P76" s="46"/>
      <c r="Q76" s="83"/>
      <c r="R76"/>
      <c r="S76" s="84"/>
      <c r="T76" s="46"/>
      <c r="U76" s="46"/>
      <c r="V76" s="46"/>
      <c r="W76" s="46"/>
      <c r="X76" s="46"/>
      <c r="Y76" s="46"/>
      <c r="Z76" s="83"/>
    </row>
    <row r="77" spans="1:26" ht="15.75" customHeight="1" x14ac:dyDescent="0.3">
      <c r="A77" s="84"/>
      <c r="B77" s="46"/>
      <c r="C77" s="46"/>
      <c r="D77" s="46"/>
      <c r="E77" s="46"/>
      <c r="F77" s="46"/>
      <c r="G77" s="46"/>
      <c r="H77" s="83"/>
      <c r="I77"/>
      <c r="J77" s="84"/>
      <c r="K77" s="46"/>
      <c r="L77" s="46"/>
      <c r="M77" s="46"/>
      <c r="N77" s="46"/>
      <c r="O77" s="46"/>
      <c r="P77" s="46"/>
      <c r="Q77" s="83"/>
      <c r="R77"/>
      <c r="S77" s="84"/>
      <c r="T77" s="46"/>
      <c r="U77" s="46"/>
      <c r="V77" s="46"/>
      <c r="W77" s="46"/>
      <c r="X77" s="46"/>
      <c r="Y77" s="46"/>
      <c r="Z77" s="83"/>
    </row>
    <row r="78" spans="1:26" ht="15.75" customHeight="1" x14ac:dyDescent="0.3">
      <c r="A78" s="84"/>
      <c r="B78" s="46"/>
      <c r="C78" s="46"/>
      <c r="D78" s="46"/>
      <c r="E78" s="46"/>
      <c r="F78" s="46"/>
      <c r="G78" s="46"/>
      <c r="H78" s="83"/>
      <c r="I78"/>
      <c r="J78" s="84"/>
      <c r="K78" s="46"/>
      <c r="L78" s="46"/>
      <c r="M78" s="46"/>
      <c r="N78" s="46"/>
      <c r="O78" s="46"/>
      <c r="P78" s="46"/>
      <c r="Q78" s="83"/>
      <c r="R78"/>
      <c r="S78" s="84"/>
      <c r="T78" s="46"/>
      <c r="U78" s="46"/>
      <c r="V78" s="46"/>
      <c r="W78" s="46"/>
      <c r="X78" s="46"/>
      <c r="Y78" s="46"/>
      <c r="Z78" s="83"/>
    </row>
    <row r="79" spans="1:26" ht="15.75" customHeight="1" x14ac:dyDescent="0.3">
      <c r="A79" s="84"/>
      <c r="B79" s="46"/>
      <c r="C79" s="46"/>
      <c r="D79" s="46"/>
      <c r="E79" s="46"/>
      <c r="F79" s="46"/>
      <c r="G79" s="46"/>
      <c r="H79" s="83"/>
      <c r="I79"/>
      <c r="J79" s="84"/>
      <c r="K79" s="46"/>
      <c r="L79" s="46"/>
      <c r="M79" s="46"/>
      <c r="N79" s="46"/>
      <c r="O79" s="46"/>
      <c r="P79" s="46"/>
      <c r="Q79" s="83"/>
      <c r="R79"/>
      <c r="S79" s="84"/>
      <c r="T79" s="46"/>
      <c r="U79" s="46"/>
      <c r="V79" s="46"/>
      <c r="W79" s="46"/>
      <c r="X79" s="46"/>
      <c r="Y79" s="46"/>
      <c r="Z79" s="83"/>
    </row>
    <row r="80" spans="1:26" ht="15.75" customHeight="1" x14ac:dyDescent="0.3">
      <c r="A80" s="84"/>
      <c r="B80" s="46"/>
      <c r="C80" s="46"/>
      <c r="D80" s="46"/>
      <c r="E80" s="46"/>
      <c r="F80" s="46"/>
      <c r="G80" s="46"/>
      <c r="H80" s="83"/>
      <c r="I80"/>
      <c r="J80" s="84"/>
      <c r="K80" s="46"/>
      <c r="L80" s="46"/>
      <c r="M80" s="46"/>
      <c r="N80" s="46"/>
      <c r="O80" s="46"/>
      <c r="P80" s="46"/>
      <c r="Q80" s="83"/>
      <c r="R80"/>
      <c r="S80" s="84"/>
      <c r="T80" s="46"/>
      <c r="U80" s="46"/>
      <c r="V80" s="46"/>
      <c r="W80" s="46"/>
      <c r="X80" s="46"/>
      <c r="Y80" s="46"/>
      <c r="Z80" s="83"/>
    </row>
    <row r="81" spans="1:26" ht="15.75" customHeight="1" x14ac:dyDescent="0.3">
      <c r="A81" s="84"/>
      <c r="B81" s="46"/>
      <c r="C81" s="46"/>
      <c r="D81" s="46"/>
      <c r="E81" s="46"/>
      <c r="F81" s="46"/>
      <c r="G81" s="46"/>
      <c r="H81" s="83"/>
      <c r="I81"/>
      <c r="J81" s="84"/>
      <c r="K81" s="46"/>
      <c r="L81" s="46"/>
      <c r="M81" s="46"/>
      <c r="N81" s="46"/>
      <c r="O81" s="46"/>
      <c r="P81" s="46"/>
      <c r="Q81" s="83"/>
      <c r="R81"/>
      <c r="S81" s="84"/>
      <c r="T81" s="46"/>
      <c r="U81" s="46"/>
      <c r="V81" s="46"/>
      <c r="W81" s="46"/>
      <c r="X81" s="46"/>
      <c r="Y81" s="46"/>
      <c r="Z81" s="83"/>
    </row>
    <row r="82" spans="1:26" ht="15.75" customHeight="1" x14ac:dyDescent="0.3">
      <c r="A82" s="84"/>
      <c r="B82" s="46"/>
      <c r="C82" s="46"/>
      <c r="D82" s="46"/>
      <c r="E82" s="46"/>
      <c r="F82" s="46"/>
      <c r="G82" s="46"/>
      <c r="H82" s="83"/>
      <c r="I82"/>
      <c r="J82" s="84"/>
      <c r="K82" s="46"/>
      <c r="L82" s="46"/>
      <c r="M82" s="46"/>
      <c r="N82" s="46"/>
      <c r="O82" s="46"/>
      <c r="P82" s="46"/>
      <c r="Q82" s="83"/>
      <c r="R82"/>
      <c r="S82" s="84"/>
      <c r="T82" s="46"/>
      <c r="U82" s="46"/>
      <c r="V82" s="46"/>
      <c r="W82" s="46"/>
      <c r="X82" s="46"/>
      <c r="Y82" s="46"/>
      <c r="Z82" s="83"/>
    </row>
    <row r="83" spans="1:26" ht="15.75" customHeight="1" x14ac:dyDescent="0.3">
      <c r="A83" s="84"/>
      <c r="B83" s="46"/>
      <c r="C83" s="46"/>
      <c r="D83" s="46"/>
      <c r="E83" s="46"/>
      <c r="F83" s="46"/>
      <c r="G83" s="46"/>
      <c r="H83" s="83"/>
      <c r="I83"/>
      <c r="J83" s="84"/>
      <c r="K83" s="46"/>
      <c r="L83" s="46"/>
      <c r="M83" s="46"/>
      <c r="N83" s="46"/>
      <c r="O83" s="46"/>
      <c r="P83" s="46"/>
      <c r="Q83" s="83"/>
      <c r="R83"/>
      <c r="S83" s="84"/>
      <c r="T83" s="46"/>
      <c r="U83" s="46"/>
      <c r="V83" s="46"/>
      <c r="W83" s="46"/>
      <c r="X83" s="46"/>
      <c r="Y83" s="46"/>
      <c r="Z83" s="83"/>
    </row>
    <row r="84" spans="1:26" ht="15.75" customHeight="1" x14ac:dyDescent="0.3">
      <c r="A84" s="84"/>
      <c r="B84" s="46"/>
      <c r="C84" s="46"/>
      <c r="D84" s="46"/>
      <c r="E84" s="46"/>
      <c r="F84" s="46"/>
      <c r="G84" s="46"/>
      <c r="H84" s="83"/>
      <c r="I84"/>
      <c r="J84" s="84"/>
      <c r="K84" s="46"/>
      <c r="L84" s="46"/>
      <c r="M84" s="46"/>
      <c r="N84" s="46"/>
      <c r="O84" s="46"/>
      <c r="P84" s="46"/>
      <c r="Q84" s="83"/>
      <c r="R84"/>
      <c r="S84" s="84"/>
      <c r="T84" s="46"/>
      <c r="U84" s="46"/>
      <c r="V84" s="46"/>
      <c r="W84" s="46"/>
      <c r="X84" s="46"/>
      <c r="Y84" s="46"/>
      <c r="Z84" s="83"/>
    </row>
    <row r="85" spans="1:26" ht="15.75" customHeight="1" x14ac:dyDescent="0.3">
      <c r="A85" s="84"/>
      <c r="B85" s="46"/>
      <c r="C85" s="46"/>
      <c r="D85" s="46"/>
      <c r="E85" s="46"/>
      <c r="F85" s="46"/>
      <c r="G85" s="46"/>
      <c r="H85" s="83"/>
      <c r="I85"/>
      <c r="J85" s="84"/>
      <c r="K85" s="46"/>
      <c r="L85" s="46"/>
      <c r="M85" s="46"/>
      <c r="N85" s="46"/>
      <c r="O85" s="46"/>
      <c r="P85" s="46"/>
      <c r="Q85" s="83"/>
      <c r="R85"/>
      <c r="S85" s="84"/>
      <c r="T85" s="46"/>
      <c r="U85" s="46"/>
      <c r="V85" s="46"/>
      <c r="W85" s="46"/>
      <c r="X85" s="46"/>
      <c r="Y85" s="46"/>
      <c r="Z85" s="83"/>
    </row>
    <row r="86" spans="1:26" ht="15.75" customHeight="1" thickBot="1" x14ac:dyDescent="0.35">
      <c r="A86" s="82"/>
      <c r="B86" s="81"/>
      <c r="C86" s="81"/>
      <c r="D86" s="81"/>
      <c r="E86" s="81"/>
      <c r="F86" s="81"/>
      <c r="G86" s="81"/>
      <c r="H86" s="80"/>
      <c r="I86"/>
      <c r="J86" s="82"/>
      <c r="K86" s="81"/>
      <c r="L86" s="81"/>
      <c r="M86" s="81"/>
      <c r="N86" s="81"/>
      <c r="O86" s="81"/>
      <c r="P86" s="81"/>
      <c r="Q86" s="80"/>
      <c r="R86"/>
      <c r="S86" s="82"/>
      <c r="T86" s="81"/>
      <c r="U86" s="81"/>
      <c r="V86" s="81"/>
      <c r="W86" s="81"/>
      <c r="X86" s="81"/>
      <c r="Y86" s="81"/>
      <c r="Z86" s="80"/>
    </row>
    <row r="87" spans="1:26" ht="15.75" customHeight="1" x14ac:dyDescent="0.3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1:26" ht="15.75" customHeight="1" thickBot="1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1:26" ht="15.75" customHeight="1" x14ac:dyDescent="0.3">
      <c r="A89" s="87"/>
      <c r="B89" s="86"/>
      <c r="C89" s="86"/>
      <c r="D89" s="238" t="s">
        <v>20</v>
      </c>
      <c r="E89" s="240"/>
      <c r="F89" s="86"/>
      <c r="G89" s="86"/>
      <c r="H89" s="85"/>
      <c r="I89"/>
      <c r="J89" s="87"/>
      <c r="K89" s="86"/>
      <c r="L89" s="86"/>
      <c r="M89" s="256" t="s">
        <v>241</v>
      </c>
      <c r="N89" s="257"/>
      <c r="O89" s="86"/>
      <c r="P89" s="86"/>
      <c r="Q89" s="85"/>
      <c r="R89"/>
      <c r="S89" s="87"/>
      <c r="T89" s="86"/>
      <c r="U89" s="86"/>
      <c r="V89" s="256" t="s">
        <v>242</v>
      </c>
      <c r="W89" s="257"/>
      <c r="X89" s="86"/>
      <c r="Y89" s="86"/>
      <c r="Z89" s="85"/>
    </row>
    <row r="90" spans="1:26" ht="15.75" customHeight="1" thickBot="1" x14ac:dyDescent="0.35">
      <c r="A90" s="84"/>
      <c r="B90" s="46"/>
      <c r="C90" s="46"/>
      <c r="D90" s="241"/>
      <c r="E90" s="243"/>
      <c r="F90" s="46"/>
      <c r="G90" s="46"/>
      <c r="H90" s="83"/>
      <c r="I90"/>
      <c r="J90" s="84"/>
      <c r="K90" s="46"/>
      <c r="L90" s="46"/>
      <c r="M90" s="258"/>
      <c r="N90" s="259"/>
      <c r="O90" s="46"/>
      <c r="P90" s="46"/>
      <c r="Q90" s="83"/>
      <c r="R90"/>
      <c r="S90" s="84"/>
      <c r="T90" s="46"/>
      <c r="U90" s="46"/>
      <c r="V90" s="258"/>
      <c r="W90" s="259"/>
      <c r="X90" s="46"/>
      <c r="Y90" s="46"/>
      <c r="Z90" s="83"/>
    </row>
    <row r="91" spans="1:26" ht="15.75" customHeight="1" x14ac:dyDescent="0.3">
      <c r="A91" s="84"/>
      <c r="B91" s="46"/>
      <c r="C91" s="46"/>
      <c r="D91" s="46"/>
      <c r="E91" s="46"/>
      <c r="F91" s="46"/>
      <c r="G91" s="46"/>
      <c r="H91" s="83"/>
      <c r="I91"/>
      <c r="J91" s="84"/>
      <c r="K91" s="46"/>
      <c r="L91" s="46"/>
      <c r="M91" s="46"/>
      <c r="N91" s="46"/>
      <c r="O91" s="46"/>
      <c r="P91" s="46"/>
      <c r="Q91" s="83"/>
      <c r="R91"/>
      <c r="S91" s="84"/>
      <c r="T91" s="46"/>
      <c r="U91" s="46"/>
      <c r="V91" s="46"/>
      <c r="W91" s="46"/>
      <c r="X91" s="46"/>
      <c r="Y91" s="46"/>
      <c r="Z91" s="83"/>
    </row>
    <row r="92" spans="1:26" ht="15.75" customHeight="1" x14ac:dyDescent="0.3">
      <c r="A92" s="84"/>
      <c r="B92" s="46"/>
      <c r="C92" s="46"/>
      <c r="D92" s="46"/>
      <c r="E92" s="46"/>
      <c r="F92" s="46"/>
      <c r="G92" s="46"/>
      <c r="H92" s="83"/>
      <c r="I92"/>
      <c r="J92" s="84"/>
      <c r="K92" s="46"/>
      <c r="L92" s="46"/>
      <c r="M92" s="46"/>
      <c r="N92" s="46"/>
      <c r="O92" s="46"/>
      <c r="P92" s="46"/>
      <c r="Q92" s="83"/>
      <c r="R92"/>
      <c r="S92" s="84"/>
      <c r="T92" s="46"/>
      <c r="U92" s="46"/>
      <c r="V92" s="46"/>
      <c r="W92" s="46"/>
      <c r="X92" s="46"/>
      <c r="Y92" s="46"/>
      <c r="Z92" s="83"/>
    </row>
    <row r="93" spans="1:26" ht="15.75" customHeight="1" x14ac:dyDescent="0.3">
      <c r="A93" s="84"/>
      <c r="B93" s="46"/>
      <c r="C93" s="46"/>
      <c r="D93" s="46"/>
      <c r="E93" s="46"/>
      <c r="F93" s="46"/>
      <c r="G93" s="46"/>
      <c r="H93" s="83"/>
      <c r="I93"/>
      <c r="J93" s="84"/>
      <c r="K93" s="46"/>
      <c r="L93" s="46"/>
      <c r="M93" s="46"/>
      <c r="N93" s="46"/>
      <c r="O93" s="46"/>
      <c r="P93" s="46"/>
      <c r="Q93" s="83"/>
      <c r="R93"/>
      <c r="S93" s="84"/>
      <c r="T93" s="46"/>
      <c r="U93" s="46"/>
      <c r="V93" s="46"/>
      <c r="W93" s="46"/>
      <c r="X93" s="46"/>
      <c r="Y93" s="46"/>
      <c r="Z93" s="83"/>
    </row>
    <row r="94" spans="1:26" ht="15.75" customHeight="1" x14ac:dyDescent="0.3">
      <c r="A94" s="84"/>
      <c r="B94" s="46"/>
      <c r="C94" s="46"/>
      <c r="D94" s="46"/>
      <c r="E94" s="46"/>
      <c r="F94" s="46"/>
      <c r="G94" s="46"/>
      <c r="H94" s="83"/>
      <c r="I94"/>
      <c r="J94" s="84"/>
      <c r="K94" s="46"/>
      <c r="L94" s="46"/>
      <c r="M94" s="46"/>
      <c r="N94" s="46"/>
      <c r="O94" s="46"/>
      <c r="P94" s="46"/>
      <c r="Q94" s="83"/>
      <c r="R94"/>
      <c r="S94" s="84"/>
      <c r="T94" s="46"/>
      <c r="U94" s="46"/>
      <c r="V94" s="46"/>
      <c r="W94" s="46"/>
      <c r="X94" s="46"/>
      <c r="Y94" s="46"/>
      <c r="Z94" s="83"/>
    </row>
    <row r="95" spans="1:26" ht="14.25" customHeight="1" x14ac:dyDescent="0.3">
      <c r="A95" s="84"/>
      <c r="B95" s="46"/>
      <c r="C95" s="46"/>
      <c r="D95" s="46"/>
      <c r="E95" s="46"/>
      <c r="F95" s="46"/>
      <c r="G95" s="46"/>
      <c r="H95" s="83"/>
      <c r="I95"/>
      <c r="J95" s="84"/>
      <c r="K95" s="46"/>
      <c r="L95" s="46"/>
      <c r="M95" s="46"/>
      <c r="N95" s="46"/>
      <c r="O95" s="46"/>
      <c r="P95" s="46"/>
      <c r="Q95" s="83"/>
      <c r="R95"/>
      <c r="S95" s="84"/>
      <c r="T95" s="46"/>
      <c r="U95" s="46"/>
      <c r="V95" s="46"/>
      <c r="W95" s="46"/>
      <c r="X95" s="46"/>
      <c r="Y95" s="46"/>
      <c r="Z95" s="83"/>
    </row>
    <row r="96" spans="1:26" ht="12.75" customHeight="1" x14ac:dyDescent="0.3">
      <c r="A96" s="84"/>
      <c r="B96" s="46"/>
      <c r="C96" s="46"/>
      <c r="D96" s="46"/>
      <c r="E96" s="46"/>
      <c r="F96" s="46"/>
      <c r="G96" s="46"/>
      <c r="H96" s="83"/>
      <c r="I96"/>
      <c r="J96" s="84"/>
      <c r="K96" s="46"/>
      <c r="L96" s="46"/>
      <c r="M96" s="46"/>
      <c r="N96" s="46"/>
      <c r="O96" s="46"/>
      <c r="P96" s="46"/>
      <c r="Q96" s="83"/>
      <c r="R96"/>
      <c r="S96" s="84"/>
      <c r="T96" s="46"/>
      <c r="U96" s="46"/>
      <c r="V96" s="46"/>
      <c r="W96" s="46"/>
      <c r="X96" s="46"/>
      <c r="Y96" s="46"/>
      <c r="Z96" s="83"/>
    </row>
    <row r="97" spans="1:26" ht="12.75" customHeight="1" x14ac:dyDescent="0.3">
      <c r="A97" s="84"/>
      <c r="B97" s="46"/>
      <c r="C97" s="46"/>
      <c r="D97" s="46"/>
      <c r="E97" s="46"/>
      <c r="F97" s="46"/>
      <c r="G97" s="46"/>
      <c r="H97" s="83"/>
      <c r="I97"/>
      <c r="J97" s="84"/>
      <c r="K97" s="46"/>
      <c r="L97" s="46"/>
      <c r="M97" s="46"/>
      <c r="N97" s="46"/>
      <c r="O97" s="46"/>
      <c r="P97" s="46"/>
      <c r="Q97" s="83"/>
      <c r="R97"/>
      <c r="S97" s="84"/>
      <c r="T97" s="46"/>
      <c r="U97" s="46"/>
      <c r="V97" s="46"/>
      <c r="W97" s="46"/>
      <c r="X97" s="46"/>
      <c r="Y97" s="46"/>
      <c r="Z97" s="83"/>
    </row>
    <row r="98" spans="1:26" ht="12.75" customHeight="1" x14ac:dyDescent="0.3">
      <c r="A98" s="84"/>
      <c r="B98" s="46"/>
      <c r="C98" s="46"/>
      <c r="D98" s="46"/>
      <c r="E98" s="46"/>
      <c r="F98" s="46"/>
      <c r="G98" s="46"/>
      <c r="H98" s="83"/>
      <c r="I98"/>
      <c r="J98" s="84"/>
      <c r="K98" s="46"/>
      <c r="L98" s="46"/>
      <c r="M98" s="46"/>
      <c r="N98" s="46"/>
      <c r="O98" s="46"/>
      <c r="P98" s="46"/>
      <c r="Q98" s="83"/>
      <c r="R98"/>
      <c r="S98" s="84"/>
      <c r="T98" s="46"/>
      <c r="U98" s="46"/>
      <c r="V98" s="46"/>
      <c r="W98" s="46"/>
      <c r="X98" s="46"/>
      <c r="Y98" s="46"/>
      <c r="Z98" s="83"/>
    </row>
    <row r="99" spans="1:26" ht="12.75" customHeight="1" x14ac:dyDescent="0.3">
      <c r="A99" s="84"/>
      <c r="B99" s="46"/>
      <c r="C99" s="46"/>
      <c r="D99" s="46"/>
      <c r="E99" s="46"/>
      <c r="F99" s="46"/>
      <c r="G99" s="46"/>
      <c r="H99" s="83"/>
      <c r="I99"/>
      <c r="J99" s="84"/>
      <c r="K99" s="46"/>
      <c r="L99" s="46"/>
      <c r="M99" s="46"/>
      <c r="N99" s="46"/>
      <c r="O99" s="46"/>
      <c r="P99" s="46"/>
      <c r="Q99" s="83"/>
      <c r="R99"/>
      <c r="S99" s="84"/>
      <c r="T99" s="46"/>
      <c r="U99" s="46"/>
      <c r="V99" s="46"/>
      <c r="W99" s="46"/>
      <c r="X99" s="46"/>
      <c r="Y99" s="46"/>
      <c r="Z99" s="83"/>
    </row>
    <row r="100" spans="1:26" ht="12.75" customHeight="1" x14ac:dyDescent="0.3">
      <c r="A100" s="84"/>
      <c r="B100" s="46"/>
      <c r="C100" s="46"/>
      <c r="D100" s="46"/>
      <c r="E100" s="46"/>
      <c r="F100" s="46"/>
      <c r="G100" s="46"/>
      <c r="H100" s="83"/>
      <c r="I100"/>
      <c r="J100" s="84"/>
      <c r="K100" s="46"/>
      <c r="L100" s="46"/>
      <c r="M100" s="46"/>
      <c r="N100" s="46"/>
      <c r="O100" s="46"/>
      <c r="P100" s="46"/>
      <c r="Q100" s="83"/>
      <c r="R100"/>
      <c r="S100" s="84"/>
      <c r="T100" s="46"/>
      <c r="U100" s="46"/>
      <c r="V100" s="46"/>
      <c r="W100" s="46"/>
      <c r="X100" s="46"/>
      <c r="Y100" s="46"/>
      <c r="Z100" s="83"/>
    </row>
    <row r="101" spans="1:26" ht="15" customHeight="1" x14ac:dyDescent="0.3">
      <c r="A101" s="84"/>
      <c r="B101" s="46"/>
      <c r="C101" s="46"/>
      <c r="D101" s="46"/>
      <c r="E101" s="46"/>
      <c r="F101" s="46"/>
      <c r="G101" s="46"/>
      <c r="H101" s="83"/>
      <c r="I101"/>
      <c r="J101" s="84"/>
      <c r="K101" s="46"/>
      <c r="L101" s="46"/>
      <c r="M101" s="46"/>
      <c r="N101" s="46"/>
      <c r="O101" s="46"/>
      <c r="P101" s="46"/>
      <c r="Q101" s="83"/>
      <c r="R101"/>
      <c r="S101" s="84"/>
      <c r="T101" s="46"/>
      <c r="U101" s="46"/>
      <c r="V101" s="46"/>
      <c r="W101" s="46"/>
      <c r="X101" s="46"/>
      <c r="Y101" s="46"/>
      <c r="Z101" s="83"/>
    </row>
    <row r="102" spans="1:26" ht="12.75" customHeight="1" x14ac:dyDescent="0.3">
      <c r="A102" s="84"/>
      <c r="B102" s="46"/>
      <c r="C102" s="46"/>
      <c r="D102" s="46"/>
      <c r="E102" s="46"/>
      <c r="F102" s="46"/>
      <c r="G102" s="46"/>
      <c r="H102" s="83"/>
      <c r="I102"/>
      <c r="J102" s="84"/>
      <c r="K102" s="46"/>
      <c r="L102" s="46"/>
      <c r="M102" s="46"/>
      <c r="N102" s="46"/>
      <c r="O102" s="46"/>
      <c r="P102" s="46"/>
      <c r="Q102" s="83"/>
      <c r="R102"/>
      <c r="S102" s="84"/>
      <c r="T102" s="46"/>
      <c r="U102" s="46"/>
      <c r="V102" s="46"/>
      <c r="W102" s="46"/>
      <c r="X102" s="46"/>
      <c r="Y102" s="46"/>
      <c r="Z102" s="83"/>
    </row>
    <row r="103" spans="1:26" ht="12.75" customHeight="1" x14ac:dyDescent="0.3">
      <c r="A103" s="84"/>
      <c r="B103" s="46"/>
      <c r="C103" s="46"/>
      <c r="D103" s="46"/>
      <c r="E103" s="46"/>
      <c r="F103" s="46"/>
      <c r="G103" s="46"/>
      <c r="H103" s="83"/>
      <c r="I103"/>
      <c r="J103" s="84"/>
      <c r="K103" s="46"/>
      <c r="L103" s="46"/>
      <c r="M103" s="46"/>
      <c r="N103" s="46"/>
      <c r="O103" s="46"/>
      <c r="P103" s="46"/>
      <c r="Q103" s="83"/>
      <c r="R103"/>
      <c r="S103" s="84"/>
      <c r="T103" s="46"/>
      <c r="U103" s="46"/>
      <c r="V103" s="46"/>
      <c r="W103" s="46"/>
      <c r="X103" s="46"/>
      <c r="Y103" s="46"/>
      <c r="Z103" s="83"/>
    </row>
    <row r="104" spans="1:26" ht="12.75" customHeight="1" x14ac:dyDescent="0.3">
      <c r="A104" s="84"/>
      <c r="B104" s="46"/>
      <c r="C104" s="46"/>
      <c r="D104" s="46"/>
      <c r="E104" s="46"/>
      <c r="F104" s="46"/>
      <c r="G104" s="46"/>
      <c r="H104" s="83"/>
      <c r="I104"/>
      <c r="J104" s="84"/>
      <c r="K104" s="46"/>
      <c r="L104" s="46"/>
      <c r="M104" s="46"/>
      <c r="N104" s="46"/>
      <c r="O104" s="46"/>
      <c r="P104" s="46"/>
      <c r="Q104" s="83"/>
      <c r="R104"/>
      <c r="S104" s="84"/>
      <c r="T104" s="46"/>
      <c r="U104" s="46"/>
      <c r="V104" s="46"/>
      <c r="W104" s="46"/>
      <c r="X104" s="46"/>
      <c r="Y104" s="46"/>
      <c r="Z104" s="83"/>
    </row>
    <row r="105" spans="1:26" ht="12.75" customHeight="1" x14ac:dyDescent="0.3">
      <c r="A105" s="84"/>
      <c r="B105" s="46"/>
      <c r="C105" s="46"/>
      <c r="D105" s="46"/>
      <c r="E105" s="46"/>
      <c r="F105" s="46"/>
      <c r="G105" s="46"/>
      <c r="H105" s="83"/>
      <c r="I105"/>
      <c r="J105" s="84"/>
      <c r="K105" s="46"/>
      <c r="L105" s="46"/>
      <c r="M105" s="46"/>
      <c r="N105" s="46"/>
      <c r="O105" s="46"/>
      <c r="P105" s="46"/>
      <c r="Q105" s="83"/>
      <c r="R105"/>
      <c r="S105" s="84"/>
      <c r="T105" s="46"/>
      <c r="U105" s="46"/>
      <c r="V105" s="46"/>
      <c r="W105" s="46"/>
      <c r="X105" s="46"/>
      <c r="Y105" s="46"/>
      <c r="Z105" s="83"/>
    </row>
    <row r="106" spans="1:26" ht="12.75" customHeight="1" thickBot="1" x14ac:dyDescent="0.35">
      <c r="A106" s="82"/>
      <c r="B106" s="81"/>
      <c r="C106" s="81"/>
      <c r="D106" s="81"/>
      <c r="E106" s="81"/>
      <c r="F106" s="81"/>
      <c r="G106" s="81"/>
      <c r="H106" s="80"/>
      <c r="I106"/>
      <c r="J106" s="82"/>
      <c r="K106" s="81"/>
      <c r="L106" s="81"/>
      <c r="M106" s="81"/>
      <c r="N106" s="81"/>
      <c r="O106" s="81"/>
      <c r="P106" s="81"/>
      <c r="Q106" s="80"/>
      <c r="R106"/>
      <c r="S106" s="82"/>
      <c r="T106" s="81"/>
      <c r="U106" s="81"/>
      <c r="V106" s="81"/>
      <c r="W106" s="81"/>
      <c r="X106" s="81"/>
      <c r="Y106" s="81"/>
      <c r="Z106" s="80"/>
    </row>
    <row r="107" spans="1:26" ht="12.75" customHeight="1" x14ac:dyDescent="0.25"/>
    <row r="108" spans="1:26" ht="12.75" customHeight="1" x14ac:dyDescent="0.25"/>
    <row r="109" spans="1:26" ht="12.75" customHeight="1" x14ac:dyDescent="0.25"/>
    <row r="110" spans="1:26" ht="12.75" customHeight="1" x14ac:dyDescent="0.25"/>
    <row r="111" spans="1:26" ht="12.75" customHeight="1" x14ac:dyDescent="0.25"/>
    <row r="112" spans="1:26" ht="12.75" customHeight="1" x14ac:dyDescent="0.25"/>
    <row r="113" spans="1:33" ht="21" customHeight="1" x14ac:dyDescent="0.45">
      <c r="A113" s="89" t="s">
        <v>28</v>
      </c>
    </row>
    <row r="114" spans="1:33" ht="12.75" customHeight="1" x14ac:dyDescent="0.25"/>
    <row r="115" spans="1:33" ht="12.75" customHeight="1" x14ac:dyDescent="0.3">
      <c r="A115" s="110" t="s">
        <v>243</v>
      </c>
      <c r="B115" s="110" t="s">
        <v>244</v>
      </c>
      <c r="C115" s="112" t="s">
        <v>245</v>
      </c>
      <c r="D115" s="112" t="s">
        <v>5</v>
      </c>
      <c r="E115" s="112" t="s">
        <v>246</v>
      </c>
      <c r="F115" s="112" t="s">
        <v>247</v>
      </c>
      <c r="G115" s="112" t="s">
        <v>248</v>
      </c>
      <c r="H115" s="112" t="s">
        <v>249</v>
      </c>
      <c r="I115" s="110" t="s">
        <v>250</v>
      </c>
      <c r="J115" s="110" t="s">
        <v>251</v>
      </c>
      <c r="K115" s="110" t="s">
        <v>252</v>
      </c>
      <c r="L115" s="110" t="s">
        <v>253</v>
      </c>
      <c r="M115" s="112" t="s">
        <v>254</v>
      </c>
      <c r="N115" s="112" t="s">
        <v>255</v>
      </c>
      <c r="O115" s="113" t="s">
        <v>13</v>
      </c>
      <c r="P115" s="112" t="s">
        <v>256</v>
      </c>
      <c r="Q115" s="112" t="s">
        <v>257</v>
      </c>
      <c r="R115" s="110" t="s">
        <v>235</v>
      </c>
      <c r="S115" s="110" t="s">
        <v>32</v>
      </c>
      <c r="T115" s="110" t="s">
        <v>258</v>
      </c>
      <c r="U115" s="110" t="s">
        <v>259</v>
      </c>
      <c r="V115" s="110" t="s">
        <v>260</v>
      </c>
      <c r="W115" s="110" t="s">
        <v>9</v>
      </c>
      <c r="X115" s="110" t="s">
        <v>10</v>
      </c>
      <c r="Y115" s="110" t="s">
        <v>50</v>
      </c>
      <c r="Z115" s="114" t="s">
        <v>11</v>
      </c>
      <c r="AA115" s="114" t="s">
        <v>261</v>
      </c>
      <c r="AB115" s="114" t="s">
        <v>262</v>
      </c>
      <c r="AC115" s="114" t="s">
        <v>263</v>
      </c>
      <c r="AD115" s="110" t="s">
        <v>264</v>
      </c>
      <c r="AE115" s="110" t="s">
        <v>265</v>
      </c>
      <c r="AF115" s="110" t="s">
        <v>266</v>
      </c>
      <c r="AG115" s="110" t="s">
        <v>12</v>
      </c>
    </row>
    <row r="116" spans="1:33" ht="12.75" customHeight="1" x14ac:dyDescent="0.25">
      <c r="A116" s="110" t="s">
        <v>267</v>
      </c>
      <c r="B116" s="115">
        <v>1982</v>
      </c>
      <c r="C116" s="115">
        <v>12907</v>
      </c>
      <c r="D116" s="115">
        <v>1762</v>
      </c>
      <c r="E116" s="115">
        <v>137.1</v>
      </c>
      <c r="F116" s="115">
        <f>$A$149*E116</f>
        <v>120.35116567166325</v>
      </c>
      <c r="G116" s="115">
        <f t="shared" ref="G116:G144" si="0">F116/E116</f>
        <v>0.8778349064308042</v>
      </c>
      <c r="H116" s="115">
        <v>21</v>
      </c>
      <c r="I116" s="115">
        <v>5.8</v>
      </c>
      <c r="J116" s="115"/>
      <c r="K116" s="115">
        <f t="shared" ref="K116:K123" si="1">J116-I116</f>
        <v>-5.8</v>
      </c>
      <c r="L116" s="115">
        <v>12779</v>
      </c>
      <c r="M116" s="115">
        <v>15</v>
      </c>
      <c r="N116" s="115">
        <f t="shared" ref="N116:N144" si="2">M116*1.852/3.6</f>
        <v>7.7166666666666668</v>
      </c>
      <c r="O116" s="115">
        <f t="shared" ref="O116:O144" si="3">N116/(9.81*F116)^0.5</f>
        <v>0.2245794875049468</v>
      </c>
      <c r="P116" s="115">
        <f t="shared" ref="P116:P144" si="4">1.08-1.68*O116</f>
        <v>0.70270646099168954</v>
      </c>
      <c r="Q116" s="115">
        <f t="shared" ref="Q116:Q144" si="5">(((0.23/O116^(2/3))*(((F116/H116)+20)/26)))</f>
        <v>0.61607165598260294</v>
      </c>
      <c r="R116" s="115">
        <v>380</v>
      </c>
      <c r="S116" s="115">
        <v>95</v>
      </c>
      <c r="T116" s="115">
        <f t="shared" ref="T116:T142" si="6">S116+R116</f>
        <v>475</v>
      </c>
      <c r="U116" s="115"/>
      <c r="V116" s="115" t="s">
        <v>268</v>
      </c>
      <c r="W116" s="115">
        <f t="shared" ref="W116:W144" si="7">E116/H116</f>
        <v>6.5285714285714285</v>
      </c>
      <c r="X116" s="115">
        <f t="shared" ref="X116:X144" si="8">H116/I116</f>
        <v>3.6206896551724137</v>
      </c>
      <c r="Y116" s="115">
        <f t="shared" ref="Y116:Y144" si="9">E116/I116</f>
        <v>23.637931034482758</v>
      </c>
      <c r="Z116" s="115" t="e">
        <f t="shared" ref="Z116:Z144" si="10">E116/J116</f>
        <v>#DIV/0!</v>
      </c>
      <c r="AA116" s="115">
        <f t="shared" ref="AA116:AA144" si="11">R116/E116</f>
        <v>2.7716994894237783</v>
      </c>
      <c r="AB116" s="115">
        <f t="shared" ref="AB116:AB144" si="12">C116/R116</f>
        <v>33.965789473684211</v>
      </c>
      <c r="AC116" s="115">
        <f t="shared" ref="AC116:AC144" si="13">E116*H116</f>
        <v>2879.1</v>
      </c>
      <c r="AD116" s="115"/>
      <c r="AE116" s="115">
        <f t="shared" ref="AE116:AE144" si="14">E116*H116*I116</f>
        <v>16698.78</v>
      </c>
      <c r="AF116" s="115" t="s">
        <v>269</v>
      </c>
      <c r="AG116" s="115">
        <f>F116/(F116*H116*I116*P116)^(1/3)</f>
        <v>5.5312903440340877</v>
      </c>
    </row>
    <row r="117" spans="1:33" ht="12.75" customHeight="1" x14ac:dyDescent="0.25">
      <c r="A117" s="110" t="s">
        <v>270</v>
      </c>
      <c r="B117" s="116">
        <v>1997</v>
      </c>
      <c r="C117" s="116">
        <v>11384</v>
      </c>
      <c r="D117" s="116">
        <v>1171</v>
      </c>
      <c r="E117" s="117">
        <v>123.3</v>
      </c>
      <c r="F117" s="117">
        <v>105</v>
      </c>
      <c r="G117" s="115">
        <f t="shared" si="0"/>
        <v>0.85158150851581516</v>
      </c>
      <c r="H117" s="117">
        <v>19.5</v>
      </c>
      <c r="I117" s="115">
        <v>4.7</v>
      </c>
      <c r="J117" s="115">
        <v>10.3</v>
      </c>
      <c r="K117" s="115">
        <f t="shared" si="1"/>
        <v>5.6000000000000005</v>
      </c>
      <c r="L117" s="115">
        <v>9000</v>
      </c>
      <c r="M117" s="115">
        <v>15</v>
      </c>
      <c r="N117" s="115">
        <f t="shared" si="2"/>
        <v>7.7166666666666668</v>
      </c>
      <c r="O117" s="115">
        <f t="shared" si="3"/>
        <v>0.24043660520542018</v>
      </c>
      <c r="P117" s="115">
        <f t="shared" si="4"/>
        <v>0.67606650325489426</v>
      </c>
      <c r="Q117" s="115">
        <f t="shared" si="5"/>
        <v>0.58075285124889087</v>
      </c>
      <c r="R117" s="115">
        <v>451</v>
      </c>
      <c r="S117" s="115" t="s">
        <v>271</v>
      </c>
      <c r="T117" s="115"/>
      <c r="U117" s="115"/>
      <c r="V117" s="115" t="s">
        <v>272</v>
      </c>
      <c r="W117" s="115">
        <f t="shared" si="7"/>
        <v>6.3230769230769228</v>
      </c>
      <c r="X117" s="115">
        <f t="shared" si="8"/>
        <v>4.1489361702127656</v>
      </c>
      <c r="Y117" s="115">
        <f t="shared" si="9"/>
        <v>26.234042553191486</v>
      </c>
      <c r="Z117" s="115">
        <f t="shared" si="10"/>
        <v>11.970873786407767</v>
      </c>
      <c r="AA117" s="115">
        <f t="shared" si="11"/>
        <v>3.6577453365774533</v>
      </c>
      <c r="AB117" s="115">
        <f t="shared" si="12"/>
        <v>25.241685144124169</v>
      </c>
      <c r="AC117" s="115">
        <f t="shared" si="13"/>
        <v>2404.35</v>
      </c>
      <c r="AD117" s="115"/>
      <c r="AE117" s="115">
        <f t="shared" si="14"/>
        <v>11300.445</v>
      </c>
      <c r="AF117" s="115" t="s">
        <v>273</v>
      </c>
      <c r="AG117" s="115">
        <f t="shared" ref="AG117:AG144" si="15">F117/(F117*H117*I117*P117)^(1/3)</f>
        <v>5.6245213552528259</v>
      </c>
    </row>
    <row r="118" spans="1:33" ht="12.75" customHeight="1" x14ac:dyDescent="0.25">
      <c r="A118" s="110" t="s">
        <v>274</v>
      </c>
      <c r="B118" s="115">
        <v>1991</v>
      </c>
      <c r="C118" s="115">
        <v>28856</v>
      </c>
      <c r="D118" s="116"/>
      <c r="E118" s="115">
        <v>192.82</v>
      </c>
      <c r="F118" s="115">
        <f>$A$149*E118</f>
        <v>169.26412665798765</v>
      </c>
      <c r="G118" s="115">
        <f t="shared" si="0"/>
        <v>0.87783490643080408</v>
      </c>
      <c r="H118" s="115">
        <v>24.7</v>
      </c>
      <c r="I118" s="115">
        <v>6.2</v>
      </c>
      <c r="J118" s="115"/>
      <c r="K118" s="115">
        <f t="shared" si="1"/>
        <v>-6.2</v>
      </c>
      <c r="L118" s="115">
        <v>17300</v>
      </c>
      <c r="M118" s="115">
        <v>21</v>
      </c>
      <c r="N118" s="115">
        <f t="shared" si="2"/>
        <v>10.803333333333335</v>
      </c>
      <c r="O118" s="115">
        <f t="shared" si="3"/>
        <v>0.26511897391738498</v>
      </c>
      <c r="P118" s="115">
        <f t="shared" si="4"/>
        <v>0.63460012381879327</v>
      </c>
      <c r="Q118" s="115">
        <f t="shared" si="5"/>
        <v>0.57559476661284037</v>
      </c>
      <c r="R118" s="115">
        <v>624</v>
      </c>
      <c r="S118" s="115">
        <v>292</v>
      </c>
      <c r="T118" s="115">
        <f t="shared" si="6"/>
        <v>916</v>
      </c>
      <c r="U118" s="115" t="s">
        <v>275</v>
      </c>
      <c r="V118" s="115" t="s">
        <v>276</v>
      </c>
      <c r="W118" s="115">
        <f t="shared" si="7"/>
        <v>7.806477732793522</v>
      </c>
      <c r="X118" s="115">
        <f t="shared" si="8"/>
        <v>3.9838709677419351</v>
      </c>
      <c r="Y118" s="115">
        <f t="shared" si="9"/>
        <v>31.099999999999998</v>
      </c>
      <c r="Z118" s="115" t="e">
        <f t="shared" si="10"/>
        <v>#DIV/0!</v>
      </c>
      <c r="AA118" s="115">
        <f t="shared" si="11"/>
        <v>3.2361788196245205</v>
      </c>
      <c r="AB118" s="115">
        <f t="shared" si="12"/>
        <v>46.243589743589745</v>
      </c>
      <c r="AC118" s="115">
        <f t="shared" si="13"/>
        <v>4762.6539999999995</v>
      </c>
      <c r="AD118" s="115"/>
      <c r="AE118" s="115">
        <f t="shared" si="14"/>
        <v>29528.4548</v>
      </c>
      <c r="AF118" s="117" t="s">
        <v>277</v>
      </c>
      <c r="AG118" s="115">
        <f t="shared" si="15"/>
        <v>6.6554948454984419</v>
      </c>
    </row>
    <row r="119" spans="1:33" ht="12.75" customHeight="1" x14ac:dyDescent="0.25">
      <c r="A119" s="110" t="s">
        <v>278</v>
      </c>
      <c r="B119" s="115">
        <v>2004</v>
      </c>
      <c r="C119" s="115">
        <v>34924</v>
      </c>
      <c r="D119" s="117">
        <v>4022</v>
      </c>
      <c r="E119" s="115">
        <v>177</v>
      </c>
      <c r="F119" s="117">
        <v>154.80000000000001</v>
      </c>
      <c r="G119" s="115">
        <f t="shared" si="0"/>
        <v>0.87457627118644077</v>
      </c>
      <c r="H119" s="115">
        <v>28</v>
      </c>
      <c r="I119" s="115">
        <v>6.6159999999999997</v>
      </c>
      <c r="J119" s="115">
        <v>9.4</v>
      </c>
      <c r="K119" s="115">
        <f t="shared" si="1"/>
        <v>2.7840000000000007</v>
      </c>
      <c r="L119" s="115">
        <v>23400</v>
      </c>
      <c r="M119" s="115">
        <v>21</v>
      </c>
      <c r="N119" s="115">
        <f t="shared" si="2"/>
        <v>10.803333333333335</v>
      </c>
      <c r="O119" s="115">
        <f t="shared" si="3"/>
        <v>0.27722844849578826</v>
      </c>
      <c r="P119" s="115">
        <f t="shared" si="4"/>
        <v>0.6142562065270758</v>
      </c>
      <c r="Q119" s="115">
        <f t="shared" si="5"/>
        <v>0.53115646380188497</v>
      </c>
      <c r="R119" s="115">
        <v>1800</v>
      </c>
      <c r="S119" s="115"/>
      <c r="T119" s="115">
        <f t="shared" si="6"/>
        <v>1800</v>
      </c>
      <c r="U119" s="115"/>
      <c r="V119" s="115" t="s">
        <v>279</v>
      </c>
      <c r="W119" s="115">
        <f t="shared" si="7"/>
        <v>6.3214285714285712</v>
      </c>
      <c r="X119" s="115">
        <f t="shared" si="8"/>
        <v>4.2321644498186215</v>
      </c>
      <c r="Y119" s="115">
        <f t="shared" si="9"/>
        <v>26.753325272067716</v>
      </c>
      <c r="Z119" s="115">
        <f t="shared" si="10"/>
        <v>18.829787234042552</v>
      </c>
      <c r="AA119" s="115">
        <f t="shared" si="11"/>
        <v>10.169491525423728</v>
      </c>
      <c r="AB119" s="115">
        <f t="shared" si="12"/>
        <v>19.402222222222221</v>
      </c>
      <c r="AC119" s="115">
        <f t="shared" si="13"/>
        <v>4956</v>
      </c>
      <c r="AD119" s="115"/>
      <c r="AE119" s="115">
        <f t="shared" si="14"/>
        <v>32788.896000000001</v>
      </c>
      <c r="AF119" s="118" t="s">
        <v>280</v>
      </c>
      <c r="AG119" s="115">
        <f t="shared" si="15"/>
        <v>5.9494882409659899</v>
      </c>
    </row>
    <row r="120" spans="1:33" ht="12.75" customHeight="1" x14ac:dyDescent="0.25">
      <c r="A120" s="110" t="s">
        <v>281</v>
      </c>
      <c r="B120" s="115">
        <v>2017</v>
      </c>
      <c r="C120" s="115">
        <v>36600</v>
      </c>
      <c r="D120" s="117">
        <v>4500</v>
      </c>
      <c r="E120" s="115">
        <v>174.1</v>
      </c>
      <c r="F120" s="115">
        <f t="shared" ref="F120:F123" si="16">$A$149*E120</f>
        <v>152.83105720960302</v>
      </c>
      <c r="G120" s="115">
        <f t="shared" si="0"/>
        <v>0.87783490643080431</v>
      </c>
      <c r="H120" s="115">
        <v>28.6</v>
      </c>
      <c r="I120" s="115">
        <v>6.15</v>
      </c>
      <c r="J120" s="115"/>
      <c r="K120" s="115">
        <f t="shared" si="1"/>
        <v>-6.15</v>
      </c>
      <c r="L120" s="115"/>
      <c r="M120" s="115">
        <v>12</v>
      </c>
      <c r="N120" s="115">
        <f t="shared" si="2"/>
        <v>6.1733333333333329</v>
      </c>
      <c r="O120" s="115">
        <f t="shared" si="3"/>
        <v>0.15943343946669511</v>
      </c>
      <c r="P120" s="115">
        <f t="shared" si="4"/>
        <v>0.81215182169595224</v>
      </c>
      <c r="Q120" s="115">
        <f t="shared" si="5"/>
        <v>0.76249846122937892</v>
      </c>
      <c r="R120" s="115">
        <v>641</v>
      </c>
      <c r="S120" s="115"/>
      <c r="T120" s="115">
        <f t="shared" si="6"/>
        <v>641</v>
      </c>
      <c r="U120" s="115" t="s">
        <v>282</v>
      </c>
      <c r="V120" s="115" t="s">
        <v>283</v>
      </c>
      <c r="W120" s="115">
        <f t="shared" si="7"/>
        <v>6.0874125874125866</v>
      </c>
      <c r="X120" s="115">
        <f t="shared" si="8"/>
        <v>4.6504065040650406</v>
      </c>
      <c r="Y120" s="115">
        <f t="shared" si="9"/>
        <v>28.30894308943089</v>
      </c>
      <c r="Z120" s="115" t="e">
        <f t="shared" si="10"/>
        <v>#DIV/0!</v>
      </c>
      <c r="AA120" s="115">
        <f t="shared" si="11"/>
        <v>3.681792073520965</v>
      </c>
      <c r="AB120" s="115">
        <f t="shared" si="12"/>
        <v>57.098283931357251</v>
      </c>
      <c r="AC120" s="115">
        <f t="shared" si="13"/>
        <v>4979.26</v>
      </c>
      <c r="AD120" s="115"/>
      <c r="AE120" s="115">
        <f t="shared" si="14"/>
        <v>30622.449000000004</v>
      </c>
      <c r="AF120" s="119" t="s">
        <v>284</v>
      </c>
      <c r="AG120" s="115">
        <f t="shared" si="15"/>
        <v>5.4682490688323178</v>
      </c>
    </row>
    <row r="121" spans="1:33" ht="12.75" customHeight="1" x14ac:dyDescent="0.35">
      <c r="A121" s="110" t="s">
        <v>285</v>
      </c>
      <c r="B121" s="115" t="s">
        <v>286</v>
      </c>
      <c r="C121" s="115">
        <v>16572</v>
      </c>
      <c r="D121" s="115"/>
      <c r="E121" s="115">
        <v>152</v>
      </c>
      <c r="F121" s="115">
        <f t="shared" si="16"/>
        <v>133.43090577748222</v>
      </c>
      <c r="G121" s="115">
        <f t="shared" si="0"/>
        <v>0.87783490643080408</v>
      </c>
      <c r="H121" s="115">
        <v>23.7</v>
      </c>
      <c r="I121" s="115">
        <v>6</v>
      </c>
      <c r="J121" s="115"/>
      <c r="K121" s="115">
        <f t="shared" si="1"/>
        <v>-6</v>
      </c>
      <c r="L121" s="120">
        <f>4*3120</f>
        <v>12480</v>
      </c>
      <c r="M121" s="115">
        <v>18.5</v>
      </c>
      <c r="N121" s="115">
        <f t="shared" si="2"/>
        <v>9.5172222222222214</v>
      </c>
      <c r="O121" s="115">
        <f t="shared" si="3"/>
        <v>0.26305556219646831</v>
      </c>
      <c r="P121" s="115">
        <f t="shared" si="4"/>
        <v>0.63806665550993336</v>
      </c>
      <c r="Q121" s="115">
        <f t="shared" si="5"/>
        <v>0.55225293680129528</v>
      </c>
      <c r="R121" s="115">
        <v>474</v>
      </c>
      <c r="S121" s="115"/>
      <c r="T121" s="115">
        <f t="shared" si="6"/>
        <v>474</v>
      </c>
      <c r="U121" s="115" t="s">
        <v>287</v>
      </c>
      <c r="V121" s="115" t="s">
        <v>283</v>
      </c>
      <c r="W121" s="115">
        <f t="shared" si="7"/>
        <v>6.4135021097046412</v>
      </c>
      <c r="X121" s="115">
        <f t="shared" si="8"/>
        <v>3.9499999999999997</v>
      </c>
      <c r="Y121" s="115">
        <f t="shared" si="9"/>
        <v>25.333333333333332</v>
      </c>
      <c r="Z121" s="115" t="e">
        <f t="shared" si="10"/>
        <v>#DIV/0!</v>
      </c>
      <c r="AA121" s="115">
        <f t="shared" si="11"/>
        <v>3.1184210526315788</v>
      </c>
      <c r="AB121" s="115">
        <f t="shared" si="12"/>
        <v>34.962025316455694</v>
      </c>
      <c r="AC121" s="115">
        <f t="shared" si="13"/>
        <v>3602.4</v>
      </c>
      <c r="AD121" s="115"/>
      <c r="AE121" s="115">
        <f t="shared" si="14"/>
        <v>21614.400000000001</v>
      </c>
      <c r="AF121" s="121" t="s">
        <v>288</v>
      </c>
      <c r="AG121" s="115">
        <f t="shared" si="15"/>
        <v>5.8109758979729831</v>
      </c>
    </row>
    <row r="122" spans="1:33" ht="12.75" customHeight="1" x14ac:dyDescent="0.25">
      <c r="A122" s="110" t="s">
        <v>289</v>
      </c>
      <c r="B122" s="115">
        <v>2001</v>
      </c>
      <c r="C122" s="115">
        <v>4996</v>
      </c>
      <c r="D122" s="115"/>
      <c r="E122" s="115">
        <v>97.34</v>
      </c>
      <c r="F122" s="115">
        <f t="shared" si="16"/>
        <v>85.448449791974483</v>
      </c>
      <c r="G122" s="115">
        <f t="shared" si="0"/>
        <v>0.8778349064308042</v>
      </c>
      <c r="H122" s="115">
        <v>17.7</v>
      </c>
      <c r="I122" s="115">
        <v>5.5</v>
      </c>
      <c r="J122" s="115"/>
      <c r="K122" s="115">
        <f t="shared" si="1"/>
        <v>-5.5</v>
      </c>
      <c r="L122" s="115">
        <v>5400</v>
      </c>
      <c r="M122" s="115">
        <v>17</v>
      </c>
      <c r="N122" s="115">
        <f t="shared" si="2"/>
        <v>8.7455555555555566</v>
      </c>
      <c r="O122" s="115">
        <f t="shared" si="3"/>
        <v>0.30206527704140096</v>
      </c>
      <c r="P122" s="115">
        <f t="shared" si="4"/>
        <v>0.57253033457044644</v>
      </c>
      <c r="Q122" s="115">
        <f t="shared" si="5"/>
        <v>0.4878525975039632</v>
      </c>
      <c r="R122" s="115"/>
      <c r="S122" s="115"/>
      <c r="T122" s="115"/>
      <c r="U122" s="115"/>
      <c r="V122" s="115" t="s">
        <v>290</v>
      </c>
      <c r="W122" s="115">
        <f t="shared" si="7"/>
        <v>5.4994350282485875</v>
      </c>
      <c r="X122" s="115">
        <f t="shared" si="8"/>
        <v>3.2181818181818183</v>
      </c>
      <c r="Y122" s="115">
        <f t="shared" si="9"/>
        <v>17.698181818181819</v>
      </c>
      <c r="Z122" s="115" t="e">
        <f t="shared" si="10"/>
        <v>#DIV/0!</v>
      </c>
      <c r="AA122" s="115"/>
      <c r="AB122" s="115"/>
      <c r="AC122" s="115">
        <f t="shared" si="13"/>
        <v>1722.9179999999999</v>
      </c>
      <c r="AD122" s="115"/>
      <c r="AE122" s="115">
        <f t="shared" si="14"/>
        <v>9476.0489999999991</v>
      </c>
      <c r="AF122" s="115" t="s">
        <v>291</v>
      </c>
      <c r="AG122" s="115">
        <f t="shared" si="15"/>
        <v>5.078763301992101</v>
      </c>
    </row>
    <row r="123" spans="1:33" ht="12.75" customHeight="1" x14ac:dyDescent="0.25">
      <c r="A123" s="110" t="s">
        <v>292</v>
      </c>
      <c r="B123" s="115">
        <v>1989</v>
      </c>
      <c r="C123" s="115">
        <v>46398</v>
      </c>
      <c r="D123" s="115">
        <v>3600</v>
      </c>
      <c r="E123" s="115">
        <v>191</v>
      </c>
      <c r="F123" s="115">
        <f t="shared" si="16"/>
        <v>167.66646712828361</v>
      </c>
      <c r="G123" s="115">
        <f t="shared" si="0"/>
        <v>0.87783490643080431</v>
      </c>
      <c r="H123" s="115">
        <v>29</v>
      </c>
      <c r="I123" s="115">
        <v>6.74</v>
      </c>
      <c r="J123" s="115"/>
      <c r="K123" s="115">
        <f t="shared" si="1"/>
        <v>-6.74</v>
      </c>
      <c r="L123" s="115">
        <f>4*7200</f>
        <v>28800</v>
      </c>
      <c r="M123" s="115">
        <v>21</v>
      </c>
      <c r="N123" s="115">
        <f t="shared" si="2"/>
        <v>10.803333333333335</v>
      </c>
      <c r="O123" s="115">
        <f t="shared" si="3"/>
        <v>0.26637911142050319</v>
      </c>
      <c r="P123" s="115">
        <f t="shared" si="4"/>
        <v>0.63248309281355475</v>
      </c>
      <c r="Q123" s="115">
        <f t="shared" si="5"/>
        <v>0.55088923077586771</v>
      </c>
      <c r="R123" s="115">
        <v>2500</v>
      </c>
      <c r="S123" s="115"/>
      <c r="T123" s="115">
        <f t="shared" si="6"/>
        <v>2500</v>
      </c>
      <c r="U123" s="115"/>
      <c r="V123" s="115" t="s">
        <v>279</v>
      </c>
      <c r="W123" s="115">
        <f t="shared" si="7"/>
        <v>6.5862068965517242</v>
      </c>
      <c r="X123" s="115">
        <f t="shared" si="8"/>
        <v>4.3026706231454002</v>
      </c>
      <c r="Y123" s="115">
        <f t="shared" si="9"/>
        <v>28.33827893175074</v>
      </c>
      <c r="Z123" s="115" t="e">
        <f t="shared" si="10"/>
        <v>#DIV/0!</v>
      </c>
      <c r="AA123" s="115">
        <f t="shared" si="11"/>
        <v>13.089005235602095</v>
      </c>
      <c r="AB123" s="115">
        <f t="shared" si="12"/>
        <v>18.559200000000001</v>
      </c>
      <c r="AC123" s="115">
        <f t="shared" si="13"/>
        <v>5539</v>
      </c>
      <c r="AD123" s="115"/>
      <c r="AE123" s="115">
        <f t="shared" si="14"/>
        <v>37332.86</v>
      </c>
      <c r="AF123" s="115" t="s">
        <v>269</v>
      </c>
      <c r="AG123" s="115">
        <f t="shared" si="15"/>
        <v>6.1037284498488251</v>
      </c>
    </row>
    <row r="124" spans="1:33" ht="12.75" customHeight="1" x14ac:dyDescent="0.25">
      <c r="A124" s="110" t="s">
        <v>293</v>
      </c>
      <c r="B124" s="115">
        <v>1990</v>
      </c>
      <c r="C124" s="117">
        <v>23287</v>
      </c>
      <c r="D124" s="117">
        <v>4863</v>
      </c>
      <c r="E124" s="117">
        <v>174</v>
      </c>
      <c r="F124" s="117">
        <v>155.30000000000001</v>
      </c>
      <c r="G124" s="115">
        <f t="shared" si="0"/>
        <v>0.89252873563218393</v>
      </c>
      <c r="H124" s="115">
        <v>24</v>
      </c>
      <c r="I124" s="117">
        <v>6.52</v>
      </c>
      <c r="J124" s="115"/>
      <c r="K124" s="115">
        <v>2.2109999999999999</v>
      </c>
      <c r="L124" s="117">
        <v>13136</v>
      </c>
      <c r="M124" s="117">
        <v>22</v>
      </c>
      <c r="N124" s="115">
        <f t="shared" si="2"/>
        <v>11.317777777777778</v>
      </c>
      <c r="O124" s="115">
        <f t="shared" si="3"/>
        <v>0.28996189599773198</v>
      </c>
      <c r="P124" s="115">
        <f t="shared" si="4"/>
        <v>0.59286401472381034</v>
      </c>
      <c r="Q124" s="115">
        <f t="shared" si="5"/>
        <v>0.53451694936616057</v>
      </c>
      <c r="R124" s="115">
        <v>650</v>
      </c>
      <c r="S124" s="115"/>
      <c r="T124" s="115">
        <f t="shared" si="6"/>
        <v>650</v>
      </c>
      <c r="U124" s="115" t="s">
        <v>294</v>
      </c>
      <c r="V124" s="115" t="s">
        <v>276</v>
      </c>
      <c r="W124" s="115">
        <f t="shared" si="7"/>
        <v>7.25</v>
      </c>
      <c r="X124" s="115">
        <f t="shared" si="8"/>
        <v>3.6809815950920246</v>
      </c>
      <c r="Y124" s="115">
        <f t="shared" si="9"/>
        <v>26.687116564417181</v>
      </c>
      <c r="Z124" s="115" t="e">
        <f t="shared" si="10"/>
        <v>#DIV/0!</v>
      </c>
      <c r="AA124" s="115">
        <f t="shared" si="11"/>
        <v>3.735632183908046</v>
      </c>
      <c r="AB124" s="115">
        <f t="shared" si="12"/>
        <v>35.826153846153844</v>
      </c>
      <c r="AC124" s="115">
        <f t="shared" si="13"/>
        <v>4176</v>
      </c>
      <c r="AD124" s="115"/>
      <c r="AE124" s="115">
        <f t="shared" si="14"/>
        <v>27227.519999999997</v>
      </c>
      <c r="AF124" s="115" t="s">
        <v>295</v>
      </c>
      <c r="AG124" s="115">
        <f t="shared" si="15"/>
        <v>6.3822869714524257</v>
      </c>
    </row>
    <row r="125" spans="1:33" ht="12.75" customHeight="1" x14ac:dyDescent="0.25">
      <c r="A125" s="110" t="s">
        <v>296</v>
      </c>
      <c r="B125" s="115">
        <v>1992</v>
      </c>
      <c r="C125" s="117">
        <v>4200</v>
      </c>
      <c r="D125" s="117">
        <v>695</v>
      </c>
      <c r="E125" s="117">
        <v>90.6</v>
      </c>
      <c r="F125" s="117">
        <v>80.150000000000006</v>
      </c>
      <c r="G125" s="115">
        <f t="shared" si="0"/>
        <v>0.88465783664459174</v>
      </c>
      <c r="H125" s="115">
        <v>15.3</v>
      </c>
      <c r="I125" s="115">
        <v>4.2</v>
      </c>
      <c r="J125" s="115">
        <v>5.85</v>
      </c>
      <c r="K125" s="115">
        <f>J125-I125</f>
        <v>1.6499999999999995</v>
      </c>
      <c r="L125" s="117">
        <v>3520</v>
      </c>
      <c r="M125" s="117">
        <v>15.5</v>
      </c>
      <c r="N125" s="115">
        <f t="shared" si="2"/>
        <v>7.9738888888888892</v>
      </c>
      <c r="O125" s="115">
        <f t="shared" si="3"/>
        <v>0.28437008821721382</v>
      </c>
      <c r="P125" s="115">
        <f t="shared" si="4"/>
        <v>0.60225825179508086</v>
      </c>
      <c r="Q125" s="115">
        <f t="shared" si="5"/>
        <v>0.51629329849660954</v>
      </c>
      <c r="R125" s="115"/>
      <c r="S125" s="115"/>
      <c r="T125" s="115"/>
      <c r="U125" s="115"/>
      <c r="V125" s="115" t="s">
        <v>276</v>
      </c>
      <c r="W125" s="115">
        <f t="shared" si="7"/>
        <v>5.9215686274509798</v>
      </c>
      <c r="X125" s="115">
        <f t="shared" si="8"/>
        <v>3.6428571428571428</v>
      </c>
      <c r="Y125" s="115">
        <f t="shared" si="9"/>
        <v>21.571428571428569</v>
      </c>
      <c r="Z125" s="115">
        <f t="shared" si="10"/>
        <v>15.487179487179487</v>
      </c>
      <c r="AA125" s="115"/>
      <c r="AB125" s="115"/>
      <c r="AC125" s="115">
        <f t="shared" si="13"/>
        <v>1386.18</v>
      </c>
      <c r="AD125" s="115"/>
      <c r="AE125" s="115">
        <f t="shared" si="14"/>
        <v>5821.9560000000001</v>
      </c>
      <c r="AF125" s="115" t="s">
        <v>295</v>
      </c>
      <c r="AG125" s="115">
        <f t="shared" si="15"/>
        <v>5.4957612509464653</v>
      </c>
    </row>
    <row r="126" spans="1:33" ht="12.75" customHeight="1" x14ac:dyDescent="0.25">
      <c r="A126" s="111" t="s">
        <v>297</v>
      </c>
      <c r="B126" s="115">
        <v>2010</v>
      </c>
      <c r="C126" s="117" t="s">
        <v>298</v>
      </c>
      <c r="D126" s="117">
        <v>1400</v>
      </c>
      <c r="E126" s="115">
        <v>142.1</v>
      </c>
      <c r="F126" s="115">
        <v>126.2</v>
      </c>
      <c r="G126" s="115">
        <f t="shared" si="0"/>
        <v>0.88810696692470092</v>
      </c>
      <c r="H126" s="115">
        <v>18</v>
      </c>
      <c r="I126" s="115">
        <v>4.8</v>
      </c>
      <c r="J126" s="115"/>
      <c r="K126" s="115">
        <v>1.905</v>
      </c>
      <c r="L126" s="115">
        <v>4600</v>
      </c>
      <c r="M126" s="115">
        <v>16</v>
      </c>
      <c r="N126" s="115">
        <f t="shared" si="2"/>
        <v>8.2311111111111117</v>
      </c>
      <c r="O126" s="115">
        <f t="shared" si="3"/>
        <v>0.23393450432714422</v>
      </c>
      <c r="P126" s="115">
        <f t="shared" si="4"/>
        <v>0.68699003273039783</v>
      </c>
      <c r="Q126" s="115">
        <f t="shared" si="5"/>
        <v>0.6293623354083997</v>
      </c>
      <c r="R126" s="115"/>
      <c r="S126" s="115"/>
      <c r="T126" s="115"/>
      <c r="U126" s="115"/>
      <c r="V126" s="115" t="s">
        <v>299</v>
      </c>
      <c r="W126" s="115">
        <f t="shared" si="7"/>
        <v>7.8944444444444439</v>
      </c>
      <c r="X126" s="115">
        <f t="shared" si="8"/>
        <v>3.75</v>
      </c>
      <c r="Y126" s="115">
        <f t="shared" si="9"/>
        <v>29.604166666666668</v>
      </c>
      <c r="Z126" s="115" t="e">
        <f t="shared" si="10"/>
        <v>#DIV/0!</v>
      </c>
      <c r="AA126" s="115"/>
      <c r="AB126" s="115"/>
      <c r="AC126" s="115">
        <f t="shared" si="13"/>
        <v>2557.7999999999997</v>
      </c>
      <c r="AD126" s="115"/>
      <c r="AE126" s="115">
        <f t="shared" si="14"/>
        <v>12277.439999999999</v>
      </c>
      <c r="AF126" s="115" t="s">
        <v>300</v>
      </c>
      <c r="AG126" s="115">
        <f t="shared" si="15"/>
        <v>6.4498781547264876</v>
      </c>
    </row>
    <row r="127" spans="1:33" ht="12.75" customHeight="1" x14ac:dyDescent="0.25">
      <c r="A127" s="111" t="s">
        <v>301</v>
      </c>
      <c r="B127" s="115">
        <v>1999</v>
      </c>
      <c r="C127" s="117">
        <v>30277</v>
      </c>
      <c r="D127" s="117">
        <v>2700</v>
      </c>
      <c r="E127" s="117">
        <v>181</v>
      </c>
      <c r="F127" s="117">
        <v>157.85</v>
      </c>
      <c r="G127" s="115">
        <f t="shared" si="0"/>
        <v>0.87209944751381208</v>
      </c>
      <c r="H127" s="117">
        <v>25.46</v>
      </c>
      <c r="I127" s="117">
        <v>5.95</v>
      </c>
      <c r="J127" s="115"/>
      <c r="K127" s="115">
        <v>2.4550000000000001</v>
      </c>
      <c r="L127" s="117">
        <v>13500</v>
      </c>
      <c r="M127" s="117">
        <v>18</v>
      </c>
      <c r="N127" s="115">
        <f t="shared" si="2"/>
        <v>9.26</v>
      </c>
      <c r="O127" s="115">
        <f t="shared" si="3"/>
        <v>0.23531748052539406</v>
      </c>
      <c r="P127" s="115">
        <f t="shared" si="4"/>
        <v>0.68466663271733808</v>
      </c>
      <c r="Q127" s="115">
        <f t="shared" si="5"/>
        <v>0.60806734896306036</v>
      </c>
      <c r="R127" s="115">
        <v>826</v>
      </c>
      <c r="S127" s="115"/>
      <c r="T127" s="115">
        <f t="shared" si="6"/>
        <v>826</v>
      </c>
      <c r="U127" s="115" t="s">
        <v>282</v>
      </c>
      <c r="V127" s="115" t="s">
        <v>302</v>
      </c>
      <c r="W127" s="115">
        <f t="shared" si="7"/>
        <v>7.1091908876669283</v>
      </c>
      <c r="X127" s="115">
        <f t="shared" si="8"/>
        <v>4.2789915966386554</v>
      </c>
      <c r="Y127" s="115">
        <f t="shared" si="9"/>
        <v>30.420168067226889</v>
      </c>
      <c r="Z127" s="115" t="e">
        <f t="shared" si="10"/>
        <v>#DIV/0!</v>
      </c>
      <c r="AA127" s="115">
        <f t="shared" si="11"/>
        <v>4.5635359116022096</v>
      </c>
      <c r="AB127" s="115">
        <f t="shared" si="12"/>
        <v>36.654963680387411</v>
      </c>
      <c r="AC127" s="115">
        <f t="shared" si="13"/>
        <v>4608.26</v>
      </c>
      <c r="AD127" s="115"/>
      <c r="AE127" s="115">
        <f t="shared" si="14"/>
        <v>27419.147000000001</v>
      </c>
      <c r="AF127" s="115" t="s">
        <v>295</v>
      </c>
      <c r="AG127" s="115">
        <f t="shared" si="15"/>
        <v>6.2164848770053425</v>
      </c>
    </row>
    <row r="128" spans="1:33" ht="12.75" customHeight="1" x14ac:dyDescent="0.25">
      <c r="A128" s="111" t="s">
        <v>303</v>
      </c>
      <c r="B128" s="117">
        <v>2007</v>
      </c>
      <c r="C128" s="117">
        <v>92409</v>
      </c>
      <c r="D128" s="115"/>
      <c r="E128" s="117">
        <v>293.8</v>
      </c>
      <c r="F128" s="117">
        <v>269.14</v>
      </c>
      <c r="G128" s="115">
        <f t="shared" si="0"/>
        <v>0.91606535057862482</v>
      </c>
      <c r="H128" s="117">
        <v>32.299999999999997</v>
      </c>
      <c r="I128" s="117">
        <v>7.85</v>
      </c>
      <c r="J128" s="115"/>
      <c r="K128" s="115">
        <f>J128-I128</f>
        <v>-7.85</v>
      </c>
      <c r="L128" s="117">
        <v>35000</v>
      </c>
      <c r="M128" s="117">
        <v>23</v>
      </c>
      <c r="N128" s="115">
        <f t="shared" si="2"/>
        <v>11.832222222222223</v>
      </c>
      <c r="O128" s="115">
        <f t="shared" si="3"/>
        <v>0.23027282548972464</v>
      </c>
      <c r="P128" s="115">
        <f t="shared" si="4"/>
        <v>0.69314165317726273</v>
      </c>
      <c r="Q128" s="115">
        <f t="shared" si="5"/>
        <v>0.66713088088247208</v>
      </c>
      <c r="R128" s="115">
        <v>3605</v>
      </c>
      <c r="S128" s="115"/>
      <c r="T128" s="115">
        <f t="shared" si="6"/>
        <v>3605</v>
      </c>
      <c r="U128" s="115" t="s">
        <v>282</v>
      </c>
      <c r="V128" s="115" t="s">
        <v>304</v>
      </c>
      <c r="W128" s="115">
        <f t="shared" si="7"/>
        <v>9.0959752321981444</v>
      </c>
      <c r="X128" s="115">
        <f t="shared" si="8"/>
        <v>4.114649681528662</v>
      </c>
      <c r="Y128" s="115">
        <f t="shared" si="9"/>
        <v>37.426751592356688</v>
      </c>
      <c r="Z128" s="115" t="e">
        <f t="shared" si="10"/>
        <v>#DIV/0!</v>
      </c>
      <c r="AA128" s="115">
        <f t="shared" si="11"/>
        <v>12.270251872021783</v>
      </c>
      <c r="AB128" s="115">
        <f t="shared" si="12"/>
        <v>25.633564493758669</v>
      </c>
      <c r="AC128" s="115">
        <f t="shared" si="13"/>
        <v>9489.74</v>
      </c>
      <c r="AD128" s="115"/>
      <c r="AE128" s="115">
        <f t="shared" si="14"/>
        <v>74494.458999999988</v>
      </c>
      <c r="AF128" s="115" t="s">
        <v>305</v>
      </c>
      <c r="AG128" s="115">
        <f t="shared" si="15"/>
        <v>7.441961856800539</v>
      </c>
    </row>
    <row r="129" spans="1:33" ht="12.75" customHeight="1" x14ac:dyDescent="0.25">
      <c r="A129" s="111" t="s">
        <v>306</v>
      </c>
      <c r="B129" s="117">
        <v>2004</v>
      </c>
      <c r="C129" s="117">
        <v>59058</v>
      </c>
      <c r="D129" s="117">
        <v>6260</v>
      </c>
      <c r="E129" s="117">
        <v>251.25</v>
      </c>
      <c r="F129" s="117">
        <v>222.25</v>
      </c>
      <c r="G129" s="115">
        <f t="shared" si="0"/>
        <v>0.88457711442786069</v>
      </c>
      <c r="H129" s="117">
        <v>28.8</v>
      </c>
      <c r="I129" s="117">
        <v>6.81</v>
      </c>
      <c r="J129" s="115"/>
      <c r="K129" s="115">
        <v>3.2069999999999999</v>
      </c>
      <c r="L129" s="117">
        <v>20000</v>
      </c>
      <c r="M129" s="117">
        <v>21.5</v>
      </c>
      <c r="N129" s="115">
        <f t="shared" si="2"/>
        <v>11.060555555555556</v>
      </c>
      <c r="O129" s="115">
        <f t="shared" si="3"/>
        <v>0.23687626848213097</v>
      </c>
      <c r="P129" s="115">
        <f t="shared" si="4"/>
        <v>0.68204786895002001</v>
      </c>
      <c r="Q129" s="115">
        <f t="shared" si="5"/>
        <v>0.6404519596546584</v>
      </c>
      <c r="R129" s="115">
        <v>2200</v>
      </c>
      <c r="S129" s="115"/>
      <c r="T129" s="115">
        <f t="shared" si="6"/>
        <v>2200</v>
      </c>
      <c r="U129" s="115" t="s">
        <v>282</v>
      </c>
      <c r="V129" s="115" t="s">
        <v>304</v>
      </c>
      <c r="W129" s="115">
        <f t="shared" si="7"/>
        <v>8.7239583333333339</v>
      </c>
      <c r="X129" s="115">
        <f t="shared" si="8"/>
        <v>4.2290748898678414</v>
      </c>
      <c r="Y129" s="115">
        <f t="shared" si="9"/>
        <v>36.894273127753308</v>
      </c>
      <c r="Z129" s="115" t="e">
        <f t="shared" si="10"/>
        <v>#DIV/0!</v>
      </c>
      <c r="AA129" s="115">
        <f t="shared" si="11"/>
        <v>8.756218905472636</v>
      </c>
      <c r="AB129" s="115">
        <f t="shared" si="12"/>
        <v>26.844545454545454</v>
      </c>
      <c r="AC129" s="115">
        <f t="shared" si="13"/>
        <v>7236</v>
      </c>
      <c r="AD129" s="115"/>
      <c r="AE129" s="115">
        <f t="shared" si="14"/>
        <v>49277.159999999996</v>
      </c>
      <c r="AF129" s="115" t="s">
        <v>305</v>
      </c>
      <c r="AG129" s="115">
        <f t="shared" si="15"/>
        <v>7.1742475997693731</v>
      </c>
    </row>
    <row r="130" spans="1:33" ht="12.75" customHeight="1" x14ac:dyDescent="0.25">
      <c r="A130" s="111" t="s">
        <v>307</v>
      </c>
      <c r="B130" s="115">
        <v>2010</v>
      </c>
      <c r="C130" s="115">
        <v>10944</v>
      </c>
      <c r="D130" s="117">
        <v>1400</v>
      </c>
      <c r="E130" s="117">
        <v>142.1</v>
      </c>
      <c r="F130" s="117">
        <v>126.2</v>
      </c>
      <c r="G130" s="115">
        <f t="shared" si="0"/>
        <v>0.88810696692470092</v>
      </c>
      <c r="H130" s="117">
        <v>18</v>
      </c>
      <c r="I130" s="117">
        <v>4.8</v>
      </c>
      <c r="J130" s="115"/>
      <c r="K130" s="115">
        <v>1.905</v>
      </c>
      <c r="L130" s="115">
        <v>4600</v>
      </c>
      <c r="M130" s="115">
        <v>16</v>
      </c>
      <c r="N130" s="115">
        <f t="shared" si="2"/>
        <v>8.2311111111111117</v>
      </c>
      <c r="O130" s="115">
        <f t="shared" si="3"/>
        <v>0.23393450432714422</v>
      </c>
      <c r="P130" s="115">
        <f t="shared" si="4"/>
        <v>0.68699003273039783</v>
      </c>
      <c r="Q130" s="115">
        <f t="shared" si="5"/>
        <v>0.6293623354083997</v>
      </c>
      <c r="R130" s="115">
        <v>264</v>
      </c>
      <c r="S130" s="115">
        <v>136</v>
      </c>
      <c r="T130" s="115">
        <f t="shared" si="6"/>
        <v>400</v>
      </c>
      <c r="U130" s="115" t="s">
        <v>282</v>
      </c>
      <c r="V130" s="115" t="s">
        <v>299</v>
      </c>
      <c r="W130" s="115">
        <f t="shared" si="7"/>
        <v>7.8944444444444439</v>
      </c>
      <c r="X130" s="115">
        <f t="shared" si="8"/>
        <v>3.75</v>
      </c>
      <c r="Y130" s="115">
        <f t="shared" si="9"/>
        <v>29.604166666666668</v>
      </c>
      <c r="Z130" s="115" t="e">
        <f t="shared" si="10"/>
        <v>#DIV/0!</v>
      </c>
      <c r="AA130" s="115">
        <f t="shared" si="11"/>
        <v>1.8578465869106264</v>
      </c>
      <c r="AB130" s="115">
        <f t="shared" si="12"/>
        <v>41.454545454545453</v>
      </c>
      <c r="AC130" s="115">
        <f t="shared" si="13"/>
        <v>2557.7999999999997</v>
      </c>
      <c r="AD130" s="115"/>
      <c r="AE130" s="115">
        <f t="shared" si="14"/>
        <v>12277.439999999999</v>
      </c>
      <c r="AF130" s="115" t="s">
        <v>300</v>
      </c>
      <c r="AG130" s="115">
        <f t="shared" si="15"/>
        <v>6.4498781547264876</v>
      </c>
    </row>
    <row r="131" spans="1:33" ht="12.75" customHeight="1" x14ac:dyDescent="0.25">
      <c r="A131" s="110" t="s">
        <v>308</v>
      </c>
      <c r="B131" s="115">
        <v>1973</v>
      </c>
      <c r="C131" s="115">
        <v>20018</v>
      </c>
      <c r="D131" s="115">
        <v>3594</v>
      </c>
      <c r="E131" s="115">
        <v>177.7</v>
      </c>
      <c r="F131" s="115">
        <f t="shared" ref="F131:F135" si="17">$A$149*E131</f>
        <v>155.99126287275391</v>
      </c>
      <c r="G131" s="115">
        <f t="shared" si="0"/>
        <v>0.87783490643080431</v>
      </c>
      <c r="H131" s="115">
        <v>25.2</v>
      </c>
      <c r="I131" s="115">
        <v>7.5469999999999997</v>
      </c>
      <c r="J131" s="117">
        <v>16.2</v>
      </c>
      <c r="K131" s="115">
        <f>J131-I132</f>
        <v>8.6529999999999987</v>
      </c>
      <c r="L131" s="115">
        <v>13240</v>
      </c>
      <c r="M131" s="115">
        <v>21</v>
      </c>
      <c r="N131" s="115">
        <f t="shared" si="2"/>
        <v>10.803333333333335</v>
      </c>
      <c r="O131" s="115">
        <f t="shared" si="3"/>
        <v>0.27616786060755444</v>
      </c>
      <c r="P131" s="115">
        <f t="shared" si="4"/>
        <v>0.6160379941793086</v>
      </c>
      <c r="Q131" s="115">
        <f t="shared" si="5"/>
        <v>0.54631531638958097</v>
      </c>
      <c r="R131" s="115">
        <v>536</v>
      </c>
      <c r="S131" s="115"/>
      <c r="T131" s="115">
        <f t="shared" si="6"/>
        <v>536</v>
      </c>
      <c r="U131" s="115"/>
      <c r="V131" s="115" t="s">
        <v>276</v>
      </c>
      <c r="W131" s="115">
        <f t="shared" si="7"/>
        <v>7.0515873015873014</v>
      </c>
      <c r="X131" s="115">
        <f t="shared" si="8"/>
        <v>3.3390751291904066</v>
      </c>
      <c r="Y131" s="115">
        <f t="shared" si="9"/>
        <v>23.545779780045052</v>
      </c>
      <c r="Z131" s="115">
        <f t="shared" si="10"/>
        <v>10.969135802469136</v>
      </c>
      <c r="AA131" s="115">
        <f t="shared" si="11"/>
        <v>3.0163196398424312</v>
      </c>
      <c r="AB131" s="115">
        <f t="shared" si="12"/>
        <v>37.347014925373138</v>
      </c>
      <c r="AC131" s="115">
        <f t="shared" si="13"/>
        <v>4478.04</v>
      </c>
      <c r="AD131" s="115"/>
      <c r="AE131" s="115">
        <f t="shared" si="14"/>
        <v>33795.767879999999</v>
      </c>
      <c r="AF131" s="115" t="s">
        <v>280</v>
      </c>
      <c r="AG131" s="115">
        <f t="shared" si="15"/>
        <v>5.9220588620907524</v>
      </c>
    </row>
    <row r="132" spans="1:33" ht="12.75" customHeight="1" x14ac:dyDescent="0.25">
      <c r="A132" s="110" t="s">
        <v>309</v>
      </c>
      <c r="B132" s="115">
        <v>1983</v>
      </c>
      <c r="C132" s="117">
        <v>28518</v>
      </c>
      <c r="D132" s="116">
        <v>5936</v>
      </c>
      <c r="E132" s="118">
        <v>205.46</v>
      </c>
      <c r="F132" s="117">
        <v>169.72</v>
      </c>
      <c r="G132" s="115">
        <f t="shared" si="0"/>
        <v>0.82604886595931082</v>
      </c>
      <c r="H132" s="115">
        <v>25.2</v>
      </c>
      <c r="I132" s="115">
        <v>7.5469999999999997</v>
      </c>
      <c r="J132" s="115">
        <v>16.2</v>
      </c>
      <c r="K132" s="115">
        <f t="shared" ref="K132:K144" si="18">J132-I132</f>
        <v>8.6529999999999987</v>
      </c>
      <c r="L132" s="115">
        <v>13420</v>
      </c>
      <c r="M132" s="115">
        <v>21.5</v>
      </c>
      <c r="N132" s="115">
        <f t="shared" si="2"/>
        <v>11.060555555555556</v>
      </c>
      <c r="O132" s="115">
        <f t="shared" si="3"/>
        <v>0.27106654870820968</v>
      </c>
      <c r="P132" s="115">
        <f t="shared" si="4"/>
        <v>0.62460819817020785</v>
      </c>
      <c r="Q132" s="115">
        <f t="shared" si="5"/>
        <v>0.56465446898807514</v>
      </c>
      <c r="R132" s="115">
        <v>812</v>
      </c>
      <c r="S132" s="115"/>
      <c r="T132" s="115">
        <f t="shared" si="6"/>
        <v>812</v>
      </c>
      <c r="U132" s="115"/>
      <c r="V132" s="115" t="s">
        <v>276</v>
      </c>
      <c r="W132" s="115">
        <f t="shared" si="7"/>
        <v>8.1531746031746035</v>
      </c>
      <c r="X132" s="115">
        <f t="shared" si="8"/>
        <v>3.3390751291904066</v>
      </c>
      <c r="Y132" s="115">
        <f t="shared" si="9"/>
        <v>27.224062541407182</v>
      </c>
      <c r="Z132" s="115">
        <f t="shared" si="10"/>
        <v>12.682716049382718</v>
      </c>
      <c r="AA132" s="115">
        <f t="shared" si="11"/>
        <v>3.9521074661734641</v>
      </c>
      <c r="AB132" s="115">
        <f t="shared" si="12"/>
        <v>35.120689655172413</v>
      </c>
      <c r="AC132" s="115">
        <f t="shared" si="13"/>
        <v>5177.5919999999996</v>
      </c>
      <c r="AD132" s="115"/>
      <c r="AE132" s="115">
        <f t="shared" si="14"/>
        <v>39075.286823999995</v>
      </c>
      <c r="AF132" s="121" t="s">
        <v>310</v>
      </c>
      <c r="AG132" s="115">
        <f t="shared" si="15"/>
        <v>6.2358332266631713</v>
      </c>
    </row>
    <row r="133" spans="1:33" ht="12.75" customHeight="1" x14ac:dyDescent="0.25">
      <c r="A133" s="110" t="s">
        <v>311</v>
      </c>
      <c r="B133" s="115">
        <v>1998</v>
      </c>
      <c r="C133" s="115">
        <v>30277</v>
      </c>
      <c r="D133" s="115">
        <v>2700</v>
      </c>
      <c r="E133" s="115">
        <v>180.96</v>
      </c>
      <c r="F133" s="115">
        <f t="shared" si="17"/>
        <v>158.85300466771832</v>
      </c>
      <c r="G133" s="115">
        <f t="shared" si="0"/>
        <v>0.87783490643080408</v>
      </c>
      <c r="H133" s="115">
        <v>25.46</v>
      </c>
      <c r="I133" s="115">
        <v>5.95</v>
      </c>
      <c r="J133" s="115"/>
      <c r="K133" s="115">
        <f t="shared" si="18"/>
        <v>-5.95</v>
      </c>
      <c r="L133" s="115">
        <v>13500</v>
      </c>
      <c r="M133" s="115">
        <v>18</v>
      </c>
      <c r="N133" s="115">
        <f t="shared" si="2"/>
        <v>9.26</v>
      </c>
      <c r="O133" s="115">
        <f t="shared" si="3"/>
        <v>0.23457340180944719</v>
      </c>
      <c r="P133" s="115">
        <f t="shared" si="4"/>
        <v>0.68591668496012881</v>
      </c>
      <c r="Q133" s="115">
        <f t="shared" si="5"/>
        <v>0.61026879873621487</v>
      </c>
      <c r="R133" s="115">
        <v>824</v>
      </c>
      <c r="S133" s="115">
        <v>386</v>
      </c>
      <c r="T133" s="115">
        <f t="shared" si="6"/>
        <v>1210</v>
      </c>
      <c r="U133" s="115" t="s">
        <v>275</v>
      </c>
      <c r="V133" s="115" t="s">
        <v>268</v>
      </c>
      <c r="W133" s="115">
        <f t="shared" si="7"/>
        <v>7.107619795758052</v>
      </c>
      <c r="X133" s="115">
        <f t="shared" si="8"/>
        <v>4.2789915966386554</v>
      </c>
      <c r="Y133" s="115">
        <f t="shared" si="9"/>
        <v>30.413445378151263</v>
      </c>
      <c r="Z133" s="115" t="e">
        <f t="shared" si="10"/>
        <v>#DIV/0!</v>
      </c>
      <c r="AA133" s="115">
        <f t="shared" si="11"/>
        <v>4.5534924845269673</v>
      </c>
      <c r="AB133" s="115">
        <f t="shared" si="12"/>
        <v>36.743932038834949</v>
      </c>
      <c r="AC133" s="115">
        <f t="shared" si="13"/>
        <v>4607.2416000000003</v>
      </c>
      <c r="AD133" s="115"/>
      <c r="AE133" s="115">
        <f t="shared" si="14"/>
        <v>27413.087520000001</v>
      </c>
      <c r="AF133" s="115" t="s">
        <v>291</v>
      </c>
      <c r="AG133" s="115">
        <f t="shared" si="15"/>
        <v>6.2389960660608024</v>
      </c>
    </row>
    <row r="134" spans="1:33" ht="12.75" customHeight="1" x14ac:dyDescent="0.25">
      <c r="A134" s="110" t="s">
        <v>312</v>
      </c>
      <c r="B134" s="115">
        <v>1992</v>
      </c>
      <c r="C134" s="115">
        <v>9961</v>
      </c>
      <c r="D134" s="115">
        <v>790</v>
      </c>
      <c r="E134" s="115">
        <v>135</v>
      </c>
      <c r="F134" s="115">
        <v>112.4</v>
      </c>
      <c r="G134" s="115">
        <f t="shared" si="0"/>
        <v>0.83259259259259266</v>
      </c>
      <c r="H134" s="115">
        <v>19</v>
      </c>
      <c r="I134" s="115">
        <v>5.415</v>
      </c>
      <c r="J134" s="115">
        <v>6.6</v>
      </c>
      <c r="K134" s="115">
        <f t="shared" si="18"/>
        <v>1.1849999999999996</v>
      </c>
      <c r="L134" s="115">
        <v>7280</v>
      </c>
      <c r="M134" s="115">
        <v>16</v>
      </c>
      <c r="N134" s="115">
        <f t="shared" si="2"/>
        <v>8.2311111111111117</v>
      </c>
      <c r="O134" s="115">
        <f t="shared" si="3"/>
        <v>0.24787961042503448</v>
      </c>
      <c r="P134" s="115">
        <f t="shared" si="4"/>
        <v>0.66356225448594208</v>
      </c>
      <c r="Q134" s="115">
        <f t="shared" si="5"/>
        <v>0.58097627101424032</v>
      </c>
      <c r="R134" s="115">
        <v>208</v>
      </c>
      <c r="S134" s="115">
        <v>164</v>
      </c>
      <c r="T134" s="115">
        <f t="shared" si="6"/>
        <v>372</v>
      </c>
      <c r="U134" s="115"/>
      <c r="V134" s="115" t="s">
        <v>276</v>
      </c>
      <c r="W134" s="115">
        <f t="shared" si="7"/>
        <v>7.1052631578947372</v>
      </c>
      <c r="X134" s="115">
        <f t="shared" si="8"/>
        <v>3.5087719298245612</v>
      </c>
      <c r="Y134" s="115">
        <f t="shared" si="9"/>
        <v>24.930747922437671</v>
      </c>
      <c r="Z134" s="115">
        <f t="shared" si="10"/>
        <v>20.454545454545457</v>
      </c>
      <c r="AA134" s="115">
        <f t="shared" si="11"/>
        <v>1.5407407407407407</v>
      </c>
      <c r="AB134" s="115">
        <f t="shared" si="12"/>
        <v>47.88942307692308</v>
      </c>
      <c r="AC134" s="115">
        <f t="shared" si="13"/>
        <v>2565</v>
      </c>
      <c r="AD134" s="115"/>
      <c r="AE134" s="115">
        <f t="shared" si="14"/>
        <v>13889.475</v>
      </c>
      <c r="AF134" s="115" t="s">
        <v>313</v>
      </c>
      <c r="AG134" s="115">
        <f t="shared" si="15"/>
        <v>5.698575354729063</v>
      </c>
    </row>
    <row r="135" spans="1:33" ht="12.75" customHeight="1" x14ac:dyDescent="0.25">
      <c r="A135" s="110" t="s">
        <v>99</v>
      </c>
      <c r="B135" s="115">
        <v>2011</v>
      </c>
      <c r="C135" s="115">
        <v>128048</v>
      </c>
      <c r="D135" s="115">
        <v>13814</v>
      </c>
      <c r="E135" s="115">
        <v>306</v>
      </c>
      <c r="F135" s="115">
        <f t="shared" si="17"/>
        <v>268.61748136782609</v>
      </c>
      <c r="G135" s="115">
        <f t="shared" si="0"/>
        <v>0.8778349064308042</v>
      </c>
      <c r="H135" s="115">
        <v>37.200000000000003</v>
      </c>
      <c r="I135" s="115">
        <v>8.3000000000000007</v>
      </c>
      <c r="J135" s="115"/>
      <c r="K135" s="115">
        <f t="shared" si="18"/>
        <v>-8.3000000000000007</v>
      </c>
      <c r="L135" s="115">
        <v>75600</v>
      </c>
      <c r="M135" s="115">
        <v>22.5</v>
      </c>
      <c r="N135" s="115">
        <f t="shared" si="2"/>
        <v>11.575000000000001</v>
      </c>
      <c r="O135" s="115">
        <f t="shared" si="3"/>
        <v>0.2254858842770345</v>
      </c>
      <c r="P135" s="115">
        <f t="shared" si="4"/>
        <v>0.70118371441458205</v>
      </c>
      <c r="Q135" s="115">
        <f t="shared" si="5"/>
        <v>0.64999606724516901</v>
      </c>
      <c r="R135" s="115">
        <v>4631</v>
      </c>
      <c r="S135" s="115">
        <v>1367</v>
      </c>
      <c r="T135" s="115">
        <f t="shared" si="6"/>
        <v>5998</v>
      </c>
      <c r="U135" s="115" t="s">
        <v>282</v>
      </c>
      <c r="V135" s="115" t="s">
        <v>304</v>
      </c>
      <c r="W135" s="115">
        <f t="shared" si="7"/>
        <v>8.2258064516129021</v>
      </c>
      <c r="X135" s="115">
        <f t="shared" si="8"/>
        <v>4.4819277108433733</v>
      </c>
      <c r="Y135" s="115">
        <f t="shared" si="9"/>
        <v>36.867469879518069</v>
      </c>
      <c r="Z135" s="115" t="e">
        <f t="shared" si="10"/>
        <v>#DIV/0!</v>
      </c>
      <c r="AA135" s="115">
        <f t="shared" si="11"/>
        <v>15.133986928104575</v>
      </c>
      <c r="AB135" s="115">
        <f t="shared" si="12"/>
        <v>27.650183545670483</v>
      </c>
      <c r="AC135" s="115">
        <f t="shared" si="13"/>
        <v>11383.2</v>
      </c>
      <c r="AD135" s="115"/>
      <c r="AE135" s="115">
        <f t="shared" si="14"/>
        <v>94480.560000000012</v>
      </c>
      <c r="AF135" s="115" t="s">
        <v>314</v>
      </c>
      <c r="AG135" s="115">
        <f t="shared" si="15"/>
        <v>6.9332772008470789</v>
      </c>
    </row>
    <row r="136" spans="1:33" ht="12.75" customHeight="1" x14ac:dyDescent="0.25">
      <c r="A136" s="110" t="s">
        <v>315</v>
      </c>
      <c r="B136" s="115">
        <v>2009</v>
      </c>
      <c r="C136" s="115">
        <v>225282</v>
      </c>
      <c r="D136" s="115">
        <v>15000</v>
      </c>
      <c r="E136" s="115">
        <v>362</v>
      </c>
      <c r="F136" s="115">
        <v>329.887</v>
      </c>
      <c r="G136" s="115">
        <f t="shared" si="0"/>
        <v>0.91129005524861884</v>
      </c>
      <c r="H136" s="115">
        <v>47</v>
      </c>
      <c r="I136" s="115">
        <v>9.3219999999999992</v>
      </c>
      <c r="J136" s="115">
        <v>22.55</v>
      </c>
      <c r="K136" s="115">
        <f t="shared" si="18"/>
        <v>13.228000000000002</v>
      </c>
      <c r="L136" s="115">
        <v>97200</v>
      </c>
      <c r="M136" s="115">
        <v>22.6</v>
      </c>
      <c r="N136" s="115">
        <f t="shared" si="2"/>
        <v>11.626444444444445</v>
      </c>
      <c r="O136" s="115">
        <f t="shared" si="3"/>
        <v>0.20437596297504071</v>
      </c>
      <c r="P136" s="115">
        <f t="shared" si="4"/>
        <v>0.73664838220193163</v>
      </c>
      <c r="Q136" s="115">
        <f t="shared" si="5"/>
        <v>0.68886665533737335</v>
      </c>
      <c r="R136" s="115">
        <v>6296</v>
      </c>
      <c r="S136" s="115">
        <v>2394</v>
      </c>
      <c r="T136" s="115">
        <f t="shared" si="6"/>
        <v>8690</v>
      </c>
      <c r="U136" s="115" t="s">
        <v>282</v>
      </c>
      <c r="V136" s="115" t="s">
        <v>276</v>
      </c>
      <c r="W136" s="115">
        <f t="shared" si="7"/>
        <v>7.7021276595744679</v>
      </c>
      <c r="X136" s="115">
        <f t="shared" si="8"/>
        <v>5.0418365157691483</v>
      </c>
      <c r="Y136" s="115">
        <f t="shared" si="9"/>
        <v>38.832868483158123</v>
      </c>
      <c r="Z136" s="115">
        <f t="shared" si="10"/>
        <v>16.053215077605319</v>
      </c>
      <c r="AA136" s="115">
        <f t="shared" si="11"/>
        <v>17.392265193370164</v>
      </c>
      <c r="AB136" s="115">
        <f t="shared" si="12"/>
        <v>35.781766200762391</v>
      </c>
      <c r="AC136" s="115">
        <f t="shared" si="13"/>
        <v>17014</v>
      </c>
      <c r="AD136" s="115"/>
      <c r="AE136" s="115">
        <f t="shared" si="14"/>
        <v>158604.50799999997</v>
      </c>
      <c r="AF136" s="115" t="s">
        <v>313</v>
      </c>
      <c r="AG136" s="115">
        <f t="shared" si="15"/>
        <v>6.9601895800880831</v>
      </c>
    </row>
    <row r="137" spans="1:33" ht="12.75" customHeight="1" x14ac:dyDescent="0.25">
      <c r="A137" s="110" t="s">
        <v>316</v>
      </c>
      <c r="B137" s="115" t="s">
        <v>317</v>
      </c>
      <c r="C137" s="115">
        <v>25611</v>
      </c>
      <c r="D137" s="115">
        <v>1703</v>
      </c>
      <c r="E137" s="115">
        <v>158.88</v>
      </c>
      <c r="F137" s="115">
        <v>139.76</v>
      </c>
      <c r="G137" s="115">
        <f t="shared" si="0"/>
        <v>0.87965760322255793</v>
      </c>
      <c r="H137" s="115">
        <v>25.18</v>
      </c>
      <c r="I137" s="115">
        <v>5.9130000000000003</v>
      </c>
      <c r="J137" s="115">
        <v>15.6</v>
      </c>
      <c r="K137" s="115">
        <f t="shared" si="18"/>
        <v>9.6869999999999994</v>
      </c>
      <c r="L137" s="115">
        <v>19124</v>
      </c>
      <c r="M137" s="115">
        <v>19</v>
      </c>
      <c r="N137" s="115">
        <f t="shared" si="2"/>
        <v>9.7744444444444447</v>
      </c>
      <c r="O137" s="115">
        <f t="shared" si="3"/>
        <v>0.26397702668016804</v>
      </c>
      <c r="P137" s="115">
        <f t="shared" si="4"/>
        <v>0.63651859517731779</v>
      </c>
      <c r="Q137" s="115">
        <f t="shared" si="5"/>
        <v>0.54925674154605486</v>
      </c>
      <c r="R137" s="115">
        <v>1409</v>
      </c>
      <c r="S137" s="115"/>
      <c r="T137" s="115">
        <f t="shared" si="6"/>
        <v>1409</v>
      </c>
      <c r="U137" s="115"/>
      <c r="V137" s="115" t="s">
        <v>283</v>
      </c>
      <c r="W137" s="115">
        <f t="shared" si="7"/>
        <v>6.3097696584590945</v>
      </c>
      <c r="X137" s="115">
        <f t="shared" si="8"/>
        <v>4.2584136648063584</v>
      </c>
      <c r="Y137" s="115">
        <f t="shared" si="9"/>
        <v>26.869609335362757</v>
      </c>
      <c r="Z137" s="115">
        <f t="shared" si="10"/>
        <v>10.184615384615384</v>
      </c>
      <c r="AA137" s="115">
        <f t="shared" si="11"/>
        <v>8.8683282980866061</v>
      </c>
      <c r="AB137" s="115">
        <f t="shared" si="12"/>
        <v>18.176721078779277</v>
      </c>
      <c r="AC137" s="115">
        <f t="shared" si="13"/>
        <v>4000.5983999999999</v>
      </c>
      <c r="AD137" s="115"/>
      <c r="AE137" s="115">
        <f t="shared" si="14"/>
        <v>23655.5383392</v>
      </c>
      <c r="AF137" s="115" t="s">
        <v>280</v>
      </c>
      <c r="AG137" s="115">
        <f t="shared" si="15"/>
        <v>5.9069554375635915</v>
      </c>
    </row>
    <row r="138" spans="1:33" ht="12.75" customHeight="1" x14ac:dyDescent="0.25">
      <c r="A138" s="110" t="s">
        <v>318</v>
      </c>
      <c r="B138" s="115">
        <v>1999</v>
      </c>
      <c r="C138" s="115">
        <v>28890</v>
      </c>
      <c r="D138" s="115"/>
      <c r="E138" s="115">
        <v>198.6</v>
      </c>
      <c r="F138" s="115">
        <f t="shared" ref="F138:F139" si="19">$A$149*E138</f>
        <v>174.3380124171577</v>
      </c>
      <c r="G138" s="115">
        <f t="shared" si="0"/>
        <v>0.8778349064308042</v>
      </c>
      <c r="H138" s="115">
        <v>24</v>
      </c>
      <c r="I138" s="115">
        <v>6</v>
      </c>
      <c r="J138" s="115"/>
      <c r="K138" s="115">
        <f t="shared" si="18"/>
        <v>-6</v>
      </c>
      <c r="L138" s="115">
        <v>21600</v>
      </c>
      <c r="M138" s="115">
        <v>21</v>
      </c>
      <c r="N138" s="115">
        <f t="shared" si="2"/>
        <v>10.803333333333335</v>
      </c>
      <c r="O138" s="115">
        <f t="shared" si="3"/>
        <v>0.261232512496474</v>
      </c>
      <c r="P138" s="115">
        <f t="shared" si="4"/>
        <v>0.64112937900592382</v>
      </c>
      <c r="Q138" s="115">
        <f t="shared" si="5"/>
        <v>0.59019280651871231</v>
      </c>
      <c r="R138" s="115">
        <v>408</v>
      </c>
      <c r="S138" s="115"/>
      <c r="T138" s="115">
        <f t="shared" si="6"/>
        <v>408</v>
      </c>
      <c r="U138" s="115" t="s">
        <v>319</v>
      </c>
      <c r="V138" s="115" t="s">
        <v>276</v>
      </c>
      <c r="W138" s="115">
        <f t="shared" si="7"/>
        <v>8.2750000000000004</v>
      </c>
      <c r="X138" s="115">
        <f t="shared" si="8"/>
        <v>4</v>
      </c>
      <c r="Y138" s="115">
        <f t="shared" si="9"/>
        <v>33.1</v>
      </c>
      <c r="Z138" s="115" t="e">
        <f t="shared" si="10"/>
        <v>#DIV/0!</v>
      </c>
      <c r="AA138" s="115">
        <f t="shared" si="11"/>
        <v>2.0543806646525682</v>
      </c>
      <c r="AB138" s="115">
        <f t="shared" si="12"/>
        <v>70.808823529411768</v>
      </c>
      <c r="AC138" s="115">
        <f t="shared" si="13"/>
        <v>4766.3999999999996</v>
      </c>
      <c r="AD138" s="115"/>
      <c r="AE138" s="115">
        <f t="shared" si="14"/>
        <v>28598.399999999998</v>
      </c>
      <c r="AF138" s="115" t="s">
        <v>291</v>
      </c>
      <c r="AG138" s="115">
        <f t="shared" si="15"/>
        <v>6.9049203000887882</v>
      </c>
    </row>
    <row r="139" spans="1:33" ht="12.75" customHeight="1" x14ac:dyDescent="0.25">
      <c r="A139" s="110" t="s">
        <v>320</v>
      </c>
      <c r="B139" s="115">
        <v>1996</v>
      </c>
      <c r="C139" s="115">
        <v>38531</v>
      </c>
      <c r="D139" s="115">
        <v>3752</v>
      </c>
      <c r="E139" s="115">
        <v>193.3</v>
      </c>
      <c r="F139" s="115">
        <f t="shared" si="19"/>
        <v>169.68548741307447</v>
      </c>
      <c r="G139" s="115">
        <f t="shared" si="0"/>
        <v>0.8778349064308042</v>
      </c>
      <c r="H139" s="115">
        <v>27.58</v>
      </c>
      <c r="I139" s="115">
        <v>6.19</v>
      </c>
      <c r="J139" s="115"/>
      <c r="K139" s="115">
        <f t="shared" si="18"/>
        <v>-6.19</v>
      </c>
      <c r="L139" s="115">
        <v>21720</v>
      </c>
      <c r="M139" s="115">
        <v>20</v>
      </c>
      <c r="N139" s="115">
        <f t="shared" si="2"/>
        <v>10.288888888888888</v>
      </c>
      <c r="O139" s="115">
        <f t="shared" si="3"/>
        <v>0.25218057081257933</v>
      </c>
      <c r="P139" s="115">
        <f t="shared" si="4"/>
        <v>0.65633664103486677</v>
      </c>
      <c r="Q139" s="115">
        <f t="shared" si="5"/>
        <v>0.57959727907754366</v>
      </c>
      <c r="R139" s="115">
        <v>1186</v>
      </c>
      <c r="S139" s="115">
        <v>360</v>
      </c>
      <c r="T139" s="115">
        <f t="shared" si="6"/>
        <v>1546</v>
      </c>
      <c r="U139" s="115" t="s">
        <v>282</v>
      </c>
      <c r="V139" s="115" t="s">
        <v>321</v>
      </c>
      <c r="W139" s="115">
        <f t="shared" si="7"/>
        <v>7.0087019579405379</v>
      </c>
      <c r="X139" s="115">
        <f t="shared" si="8"/>
        <v>4.4555735056542805</v>
      </c>
      <c r="Y139" s="115">
        <f t="shared" si="9"/>
        <v>31.227786752827139</v>
      </c>
      <c r="Z139" s="115" t="e">
        <f t="shared" si="10"/>
        <v>#DIV/0!</v>
      </c>
      <c r="AA139" s="115">
        <f t="shared" si="11"/>
        <v>6.1355406104500769</v>
      </c>
      <c r="AB139" s="115">
        <f t="shared" si="12"/>
        <v>32.488195615514336</v>
      </c>
      <c r="AC139" s="115">
        <f t="shared" si="13"/>
        <v>5331.2139999999999</v>
      </c>
      <c r="AD139" s="115"/>
      <c r="AE139" s="115">
        <f t="shared" si="14"/>
        <v>33000.214660000005</v>
      </c>
      <c r="AF139" s="115" t="s">
        <v>291</v>
      </c>
      <c r="AG139" s="115">
        <f t="shared" si="15"/>
        <v>6.3575914095767505</v>
      </c>
    </row>
    <row r="140" spans="1:33" ht="12.75" customHeight="1" x14ac:dyDescent="0.25">
      <c r="A140" s="110" t="s">
        <v>322</v>
      </c>
      <c r="B140" s="115">
        <v>1993</v>
      </c>
      <c r="C140" s="115">
        <v>11204</v>
      </c>
      <c r="D140" s="115">
        <v>902</v>
      </c>
      <c r="E140" s="115">
        <v>121.8</v>
      </c>
      <c r="F140" s="115">
        <v>103.8</v>
      </c>
      <c r="G140" s="115">
        <f t="shared" si="0"/>
        <v>0.85221674876847286</v>
      </c>
      <c r="H140" s="115">
        <v>19.2</v>
      </c>
      <c r="I140" s="115">
        <v>4.7</v>
      </c>
      <c r="J140" s="115">
        <v>10.3</v>
      </c>
      <c r="K140" s="115">
        <f t="shared" si="18"/>
        <v>5.6000000000000005</v>
      </c>
      <c r="L140" s="115">
        <v>9000</v>
      </c>
      <c r="M140" s="115">
        <v>18</v>
      </c>
      <c r="N140" s="115">
        <f t="shared" si="2"/>
        <v>9.26</v>
      </c>
      <c r="O140" s="115">
        <f t="shared" si="3"/>
        <v>0.29018690212892151</v>
      </c>
      <c r="P140" s="115">
        <f t="shared" si="4"/>
        <v>0.59248600442341193</v>
      </c>
      <c r="Q140" s="115">
        <f t="shared" si="5"/>
        <v>0.51275493764985214</v>
      </c>
      <c r="R140" s="115">
        <v>490</v>
      </c>
      <c r="S140" s="115"/>
      <c r="T140" s="115">
        <f t="shared" si="6"/>
        <v>490</v>
      </c>
      <c r="U140" s="115" t="s">
        <v>323</v>
      </c>
      <c r="V140" s="115" t="s">
        <v>324</v>
      </c>
      <c r="W140" s="115">
        <f t="shared" si="7"/>
        <v>6.34375</v>
      </c>
      <c r="X140" s="115">
        <f t="shared" si="8"/>
        <v>4.0851063829787231</v>
      </c>
      <c r="Y140" s="115">
        <f t="shared" si="9"/>
        <v>25.914893617021274</v>
      </c>
      <c r="Z140" s="115">
        <f t="shared" si="10"/>
        <v>11.825242718446601</v>
      </c>
      <c r="AA140" s="115">
        <f t="shared" si="11"/>
        <v>4.0229885057471266</v>
      </c>
      <c r="AB140" s="115">
        <f t="shared" si="12"/>
        <v>22.865306122448981</v>
      </c>
      <c r="AC140" s="115">
        <f t="shared" si="13"/>
        <v>2338.56</v>
      </c>
      <c r="AD140" s="115" t="s">
        <v>325</v>
      </c>
      <c r="AE140" s="115">
        <f t="shared" si="14"/>
        <v>10991.232</v>
      </c>
      <c r="AF140" s="115" t="s">
        <v>326</v>
      </c>
      <c r="AG140" s="115">
        <f t="shared" si="15"/>
        <v>5.8628102905498762</v>
      </c>
    </row>
    <row r="141" spans="1:33" ht="12.75" customHeight="1" x14ac:dyDescent="0.25">
      <c r="A141" s="110" t="s">
        <v>327</v>
      </c>
      <c r="B141" s="115">
        <v>1976</v>
      </c>
      <c r="C141" s="115">
        <v>15410</v>
      </c>
      <c r="D141" s="115">
        <v>3000</v>
      </c>
      <c r="E141" s="115">
        <v>157</v>
      </c>
      <c r="F141" s="115">
        <f t="shared" ref="F141" si="20">$A$149*E141</f>
        <v>137.82008030963627</v>
      </c>
      <c r="G141" s="115">
        <f t="shared" si="0"/>
        <v>0.87783490643080431</v>
      </c>
      <c r="H141" s="115">
        <v>22</v>
      </c>
      <c r="I141" s="115">
        <v>6.2</v>
      </c>
      <c r="J141" s="115"/>
      <c r="K141" s="115">
        <f t="shared" si="18"/>
        <v>-6.2</v>
      </c>
      <c r="L141" s="115">
        <v>12422</v>
      </c>
      <c r="M141" s="115">
        <v>20</v>
      </c>
      <c r="N141" s="115">
        <f t="shared" si="2"/>
        <v>10.288888888888888</v>
      </c>
      <c r="O141" s="115">
        <f t="shared" si="3"/>
        <v>0.27981933763406464</v>
      </c>
      <c r="P141" s="115">
        <f t="shared" si="4"/>
        <v>0.60990351277477151</v>
      </c>
      <c r="Q141" s="115">
        <f t="shared" si="5"/>
        <v>0.54309101946625982</v>
      </c>
      <c r="R141" s="115">
        <v>745</v>
      </c>
      <c r="S141" s="115">
        <v>155</v>
      </c>
      <c r="T141" s="115">
        <f t="shared" si="6"/>
        <v>900</v>
      </c>
      <c r="U141" s="115" t="s">
        <v>275</v>
      </c>
      <c r="V141" s="115" t="s">
        <v>328</v>
      </c>
      <c r="W141" s="115">
        <f t="shared" si="7"/>
        <v>7.1363636363636367</v>
      </c>
      <c r="X141" s="115">
        <f t="shared" si="8"/>
        <v>3.5483870967741935</v>
      </c>
      <c r="Y141" s="115">
        <f t="shared" si="9"/>
        <v>25.322580645161288</v>
      </c>
      <c r="Z141" s="115" t="e">
        <f t="shared" si="10"/>
        <v>#DIV/0!</v>
      </c>
      <c r="AA141" s="115">
        <f t="shared" si="11"/>
        <v>4.7452229299363058</v>
      </c>
      <c r="AB141" s="115">
        <f t="shared" si="12"/>
        <v>20.684563758389263</v>
      </c>
      <c r="AC141" s="115">
        <f t="shared" si="13"/>
        <v>3454</v>
      </c>
      <c r="AD141" s="115" t="s">
        <v>329</v>
      </c>
      <c r="AE141" s="115">
        <f t="shared" si="14"/>
        <v>21414.799999999999</v>
      </c>
      <c r="AF141" s="115" t="s">
        <v>291</v>
      </c>
      <c r="AG141" s="115">
        <f t="shared" si="15"/>
        <v>6.1119974459762636</v>
      </c>
    </row>
    <row r="142" spans="1:33" ht="12.75" customHeight="1" x14ac:dyDescent="0.25">
      <c r="A142" s="110" t="s">
        <v>330</v>
      </c>
      <c r="B142" s="115">
        <v>1999</v>
      </c>
      <c r="C142" s="115">
        <v>28550</v>
      </c>
      <c r="D142" s="115">
        <v>3342</v>
      </c>
      <c r="E142" s="115">
        <v>170.69</v>
      </c>
      <c r="F142" s="115">
        <v>150.18</v>
      </c>
      <c r="G142" s="115">
        <f t="shared" si="0"/>
        <v>0.87984064678657214</v>
      </c>
      <c r="H142" s="115">
        <v>24.8</v>
      </c>
      <c r="I142" s="115">
        <v>7.3</v>
      </c>
      <c r="J142" s="115">
        <v>12.3</v>
      </c>
      <c r="K142" s="115">
        <f t="shared" si="18"/>
        <v>5.0000000000000009</v>
      </c>
      <c r="L142" s="115">
        <v>21000</v>
      </c>
      <c r="M142" s="115">
        <v>19.5</v>
      </c>
      <c r="N142" s="115">
        <f t="shared" si="2"/>
        <v>10.031666666666668</v>
      </c>
      <c r="O142" s="115">
        <f t="shared" si="3"/>
        <v>0.26135603883079211</v>
      </c>
      <c r="P142" s="115">
        <f t="shared" si="4"/>
        <v>0.64092185476426933</v>
      </c>
      <c r="Q142" s="115">
        <f t="shared" si="5"/>
        <v>0.56385568005932285</v>
      </c>
      <c r="R142" s="115">
        <v>490</v>
      </c>
      <c r="S142" s="115">
        <v>340</v>
      </c>
      <c r="T142" s="115">
        <f t="shared" si="6"/>
        <v>830</v>
      </c>
      <c r="U142" s="115" t="s">
        <v>275</v>
      </c>
      <c r="V142" s="115" t="s">
        <v>331</v>
      </c>
      <c r="W142" s="115">
        <f t="shared" si="7"/>
        <v>6.8826612903225808</v>
      </c>
      <c r="X142" s="115">
        <f t="shared" si="8"/>
        <v>3.397260273972603</v>
      </c>
      <c r="Y142" s="115">
        <f t="shared" si="9"/>
        <v>23.38219178082192</v>
      </c>
      <c r="Z142" s="115">
        <f t="shared" si="10"/>
        <v>13.877235772357723</v>
      </c>
      <c r="AA142" s="115">
        <f t="shared" si="11"/>
        <v>2.8707012713105629</v>
      </c>
      <c r="AB142" s="115">
        <f t="shared" si="12"/>
        <v>58.265306122448976</v>
      </c>
      <c r="AC142" s="115">
        <f t="shared" si="13"/>
        <v>4233.1120000000001</v>
      </c>
      <c r="AD142" s="115"/>
      <c r="AE142" s="115">
        <f t="shared" si="14"/>
        <v>30901.7176</v>
      </c>
      <c r="AF142" s="115" t="s">
        <v>326</v>
      </c>
      <c r="AG142" s="115">
        <f t="shared" si="15"/>
        <v>5.792706519788438</v>
      </c>
    </row>
    <row r="143" spans="1:33" ht="12.75" customHeight="1" x14ac:dyDescent="0.25">
      <c r="A143" s="110" t="s">
        <v>332</v>
      </c>
      <c r="B143" s="115">
        <v>2007</v>
      </c>
      <c r="C143" s="115">
        <v>11647</v>
      </c>
      <c r="D143" s="115">
        <v>984</v>
      </c>
      <c r="E143" s="115">
        <v>113.65</v>
      </c>
      <c r="F143" s="115">
        <v>99.22</v>
      </c>
      <c r="G143" s="115">
        <f t="shared" si="0"/>
        <v>0.8730312362516498</v>
      </c>
      <c r="H143" s="115">
        <v>20.2</v>
      </c>
      <c r="I143" s="115">
        <v>5.0999999999999996</v>
      </c>
      <c r="J143" s="115">
        <v>16</v>
      </c>
      <c r="K143" s="115">
        <f t="shared" si="18"/>
        <v>10.9</v>
      </c>
      <c r="L143" s="115">
        <v>7920</v>
      </c>
      <c r="M143" s="115">
        <v>16</v>
      </c>
      <c r="N143" s="115">
        <f t="shared" si="2"/>
        <v>8.2311111111111117</v>
      </c>
      <c r="O143" s="115">
        <f t="shared" si="3"/>
        <v>0.26383010432483928</v>
      </c>
      <c r="P143" s="115">
        <f t="shared" si="4"/>
        <v>0.63676542473427011</v>
      </c>
      <c r="Q143" s="115">
        <f t="shared" si="5"/>
        <v>0.53572853498881023</v>
      </c>
      <c r="R143" s="115">
        <v>280</v>
      </c>
      <c r="S143" s="115"/>
      <c r="T143" s="115">
        <v>400</v>
      </c>
      <c r="U143" s="115" t="s">
        <v>333</v>
      </c>
      <c r="V143" s="115" t="s">
        <v>324</v>
      </c>
      <c r="W143" s="115">
        <f t="shared" si="7"/>
        <v>5.6262376237623766</v>
      </c>
      <c r="X143" s="115">
        <f t="shared" si="8"/>
        <v>3.9607843137254903</v>
      </c>
      <c r="Y143" s="115">
        <f t="shared" si="9"/>
        <v>22.2843137254902</v>
      </c>
      <c r="Z143" s="115">
        <f t="shared" si="10"/>
        <v>7.1031250000000004</v>
      </c>
      <c r="AA143" s="115">
        <f t="shared" si="11"/>
        <v>2.4637043554773426</v>
      </c>
      <c r="AB143" s="115">
        <f t="shared" si="12"/>
        <v>41.596428571428568</v>
      </c>
      <c r="AC143" s="115">
        <f t="shared" si="13"/>
        <v>2295.73</v>
      </c>
      <c r="AD143" s="115"/>
      <c r="AE143" s="115">
        <f t="shared" si="14"/>
        <v>11708.223</v>
      </c>
      <c r="AF143" s="115" t="s">
        <v>326</v>
      </c>
      <c r="AG143" s="115">
        <f t="shared" si="15"/>
        <v>5.3141336821726242</v>
      </c>
    </row>
    <row r="144" spans="1:33" ht="12.75" customHeight="1" x14ac:dyDescent="0.25">
      <c r="A144" s="110" t="s">
        <v>334</v>
      </c>
      <c r="B144" s="115">
        <v>2002</v>
      </c>
      <c r="C144" s="115">
        <v>15539</v>
      </c>
      <c r="D144" s="115">
        <v>945</v>
      </c>
      <c r="E144" s="115">
        <v>138.5</v>
      </c>
      <c r="F144" s="115">
        <v>116.6</v>
      </c>
      <c r="G144" s="115">
        <f t="shared" si="0"/>
        <v>0.8418772563176895</v>
      </c>
      <c r="H144" s="115">
        <v>21.5</v>
      </c>
      <c r="I144" s="115">
        <v>4.8</v>
      </c>
      <c r="J144" s="115">
        <v>7.2</v>
      </c>
      <c r="K144" s="115">
        <f t="shared" si="18"/>
        <v>2.4000000000000004</v>
      </c>
      <c r="L144" s="115">
        <v>13800</v>
      </c>
      <c r="M144" s="115">
        <v>18</v>
      </c>
      <c r="N144" s="115">
        <f t="shared" si="2"/>
        <v>9.26</v>
      </c>
      <c r="O144" s="115">
        <f t="shared" si="3"/>
        <v>0.27379606854471633</v>
      </c>
      <c r="P144" s="115">
        <f t="shared" si="4"/>
        <v>0.6200226048448767</v>
      </c>
      <c r="Q144" s="115">
        <f t="shared" si="5"/>
        <v>0.53337687631684239</v>
      </c>
      <c r="R144" s="115">
        <v>578</v>
      </c>
      <c r="S144" s="115"/>
      <c r="T144" s="115">
        <f>S144+R144</f>
        <v>578</v>
      </c>
      <c r="U144" s="115" t="s">
        <v>323</v>
      </c>
      <c r="V144" s="115" t="s">
        <v>324</v>
      </c>
      <c r="W144" s="115">
        <f t="shared" si="7"/>
        <v>6.441860465116279</v>
      </c>
      <c r="X144" s="115">
        <f t="shared" si="8"/>
        <v>4.479166666666667</v>
      </c>
      <c r="Y144" s="115">
        <f t="shared" si="9"/>
        <v>28.854166666666668</v>
      </c>
      <c r="Z144" s="115">
        <f t="shared" si="10"/>
        <v>19.236111111111111</v>
      </c>
      <c r="AA144" s="115">
        <f t="shared" si="11"/>
        <v>4.1732851985559565</v>
      </c>
      <c r="AB144" s="115">
        <f t="shared" si="12"/>
        <v>26.884083044982699</v>
      </c>
      <c r="AC144" s="115">
        <f t="shared" si="13"/>
        <v>2977.75</v>
      </c>
      <c r="AD144" s="115" t="s">
        <v>335</v>
      </c>
      <c r="AE144" s="115">
        <f t="shared" si="14"/>
        <v>14293.199999999999</v>
      </c>
      <c r="AF144" s="115" t="s">
        <v>336</v>
      </c>
      <c r="AG144" s="115">
        <f t="shared" si="15"/>
        <v>5.967191287873038</v>
      </c>
    </row>
    <row r="145" spans="1:1" ht="12.75" customHeight="1" x14ac:dyDescent="0.25"/>
    <row r="146" spans="1:1" ht="12.75" customHeight="1" x14ac:dyDescent="0.25"/>
    <row r="147" spans="1:1" ht="12.75" customHeight="1" x14ac:dyDescent="0.25"/>
    <row r="148" spans="1:1" ht="12.75" customHeight="1" x14ac:dyDescent="0.25">
      <c r="A148" s="108" t="s">
        <v>337</v>
      </c>
    </row>
    <row r="149" spans="1:1" ht="12.75" customHeight="1" x14ac:dyDescent="0.25">
      <c r="A149" s="108">
        <f>AVERAGE(G117,G119,G124:G130,G132)</f>
        <v>0.8778349064308042</v>
      </c>
    </row>
    <row r="150" spans="1:1" ht="12.75" customHeight="1" x14ac:dyDescent="0.25"/>
    <row r="151" spans="1:1" ht="12.75" customHeight="1" x14ac:dyDescent="0.25"/>
    <row r="152" spans="1:1" ht="12.75" customHeight="1" x14ac:dyDescent="0.25"/>
    <row r="153" spans="1:1" ht="12.75" customHeight="1" x14ac:dyDescent="0.25"/>
    <row r="154" spans="1:1" ht="12.75" customHeight="1" x14ac:dyDescent="0.25"/>
    <row r="155" spans="1:1" ht="12.75" customHeight="1" x14ac:dyDescent="0.25"/>
    <row r="156" spans="1:1" ht="12.75" customHeight="1" x14ac:dyDescent="0.25"/>
    <row r="157" spans="1:1" ht="12.75" customHeight="1" x14ac:dyDescent="0.25"/>
    <row r="158" spans="1:1" ht="12.75" customHeight="1" x14ac:dyDescent="0.25"/>
    <row r="159" spans="1:1" ht="12.75" customHeight="1" x14ac:dyDescent="0.25"/>
    <row r="160" spans="1:1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</sheetData>
  <mergeCells count="14">
    <mergeCell ref="A20:C21"/>
    <mergeCell ref="A1:C1"/>
    <mergeCell ref="C29:F30"/>
    <mergeCell ref="L29:O30"/>
    <mergeCell ref="U29:X30"/>
    <mergeCell ref="D89:E90"/>
    <mergeCell ref="M89:N90"/>
    <mergeCell ref="V89:W90"/>
    <mergeCell ref="C49:D50"/>
    <mergeCell ref="M49:N50"/>
    <mergeCell ref="V49:W50"/>
    <mergeCell ref="D69:E70"/>
    <mergeCell ref="M69:N70"/>
    <mergeCell ref="U69:X70"/>
  </mergeCells>
  <hyperlinks>
    <hyperlink ref="AF132" r:id="rId1" xr:uid="{0C3057AE-25CA-40E2-86BB-87E3FCA6FFE9}"/>
    <hyperlink ref="AF121" r:id="rId2" xr:uid="{F8D66530-8EF8-4C8E-B652-DDBCE6342B04}"/>
    <hyperlink ref="AF120" r:id="rId3" xr:uid="{1F7074C8-E09E-4AF8-967D-6408CFB85C2B}"/>
  </hyperlinks>
  <pageMargins left="0.7" right="0.7" top="0.75" bottom="0.75" header="0.3" footer="0.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C021F-3562-4406-81A0-EC9B8C631106}">
  <sheetPr codeName="Sheet4"/>
  <dimension ref="A1:AC218"/>
  <sheetViews>
    <sheetView topLeftCell="A127" zoomScale="55" zoomScaleNormal="55" workbookViewId="0">
      <selection activeCell="A158" sqref="A158"/>
    </sheetView>
  </sheetViews>
  <sheetFormatPr defaultRowHeight="14.4" x14ac:dyDescent="0.3"/>
  <cols>
    <col min="1" max="1" width="29.44140625" bestFit="1" customWidth="1"/>
    <col min="2" max="2" width="12.5546875" customWidth="1"/>
    <col min="3" max="3" width="33.21875" customWidth="1"/>
    <col min="5" max="5" width="17.21875" customWidth="1"/>
    <col min="6" max="6" width="17" customWidth="1"/>
    <col min="7" max="7" width="13.77734375" customWidth="1"/>
    <col min="8" max="8" width="16.44140625" customWidth="1"/>
    <col min="9" max="9" width="13.44140625" customWidth="1"/>
    <col min="10" max="10" width="14.21875" customWidth="1"/>
    <col min="11" max="11" width="13.21875" customWidth="1"/>
    <col min="12" max="12" width="12.77734375" customWidth="1"/>
    <col min="13" max="13" width="14.5546875" customWidth="1"/>
    <col min="14" max="14" width="11.77734375" customWidth="1"/>
    <col min="15" max="15" width="10.77734375" customWidth="1"/>
    <col min="16" max="17" width="20.77734375" customWidth="1"/>
    <col min="18" max="18" width="17.21875" customWidth="1"/>
    <col min="19" max="19" width="15.21875" customWidth="1"/>
    <col min="20" max="20" width="14" customWidth="1"/>
    <col min="21" max="21" width="14.44140625" customWidth="1"/>
    <col min="22" max="22" width="15.77734375" customWidth="1"/>
    <col min="23" max="23" width="12.77734375" customWidth="1"/>
    <col min="24" max="24" width="25.21875" customWidth="1"/>
    <col min="25" max="25" width="17.44140625" customWidth="1"/>
    <col min="26" max="26" width="16.5546875" customWidth="1"/>
  </cols>
  <sheetData>
    <row r="1" spans="1:3" ht="15" thickBot="1" x14ac:dyDescent="0.35">
      <c r="A1" s="260" t="s">
        <v>0</v>
      </c>
      <c r="B1" s="261"/>
      <c r="C1" s="262"/>
    </row>
    <row r="2" spans="1:3" x14ac:dyDescent="0.3">
      <c r="A2" s="145" t="s">
        <v>228</v>
      </c>
      <c r="B2" s="146">
        <v>287</v>
      </c>
      <c r="C2" s="146" t="s">
        <v>229</v>
      </c>
    </row>
    <row r="3" spans="1:3" x14ac:dyDescent="0.3">
      <c r="A3" s="143" t="s">
        <v>230</v>
      </c>
      <c r="B3" s="144">
        <v>280</v>
      </c>
      <c r="C3" s="144" t="s">
        <v>229</v>
      </c>
    </row>
    <row r="4" spans="1:3" x14ac:dyDescent="0.3">
      <c r="A4" s="143" t="s">
        <v>2</v>
      </c>
      <c r="B4" s="144">
        <v>37</v>
      </c>
      <c r="C4" s="144" t="s">
        <v>229</v>
      </c>
    </row>
    <row r="5" spans="1:3" x14ac:dyDescent="0.3">
      <c r="A5" s="143" t="s">
        <v>3</v>
      </c>
      <c r="B5" s="144">
        <v>8</v>
      </c>
      <c r="C5" s="144" t="s">
        <v>229</v>
      </c>
    </row>
    <row r="6" spans="1:3" x14ac:dyDescent="0.3">
      <c r="A6" s="143" t="s">
        <v>4</v>
      </c>
      <c r="B6" s="144">
        <v>16</v>
      </c>
      <c r="C6" s="144" t="s">
        <v>229</v>
      </c>
    </row>
    <row r="7" spans="1:3" x14ac:dyDescent="0.3">
      <c r="A7" s="143" t="s">
        <v>5</v>
      </c>
      <c r="B7" s="144">
        <v>4826</v>
      </c>
      <c r="C7" s="144" t="s">
        <v>231</v>
      </c>
    </row>
    <row r="8" spans="1:3" x14ac:dyDescent="0.3">
      <c r="A8" s="143" t="s">
        <v>6</v>
      </c>
      <c r="B8" s="144">
        <v>0.75</v>
      </c>
      <c r="C8" s="144"/>
    </row>
    <row r="9" spans="1:3" x14ac:dyDescent="0.3">
      <c r="A9" s="143" t="s">
        <v>7</v>
      </c>
      <c r="B9" s="144">
        <v>18</v>
      </c>
      <c r="C9" s="144" t="s">
        <v>232</v>
      </c>
    </row>
    <row r="10" spans="1:3" x14ac:dyDescent="0.3">
      <c r="A10" s="143" t="s">
        <v>8</v>
      </c>
      <c r="B10" s="144">
        <v>2000</v>
      </c>
      <c r="C10" s="144"/>
    </row>
    <row r="11" spans="1:3" x14ac:dyDescent="0.3">
      <c r="A11" s="143" t="s">
        <v>233</v>
      </c>
      <c r="B11" s="144">
        <v>50000</v>
      </c>
      <c r="C11" s="144" t="s">
        <v>234</v>
      </c>
    </row>
    <row r="12" spans="1:3" x14ac:dyDescent="0.3">
      <c r="A12" s="143" t="s">
        <v>235</v>
      </c>
      <c r="B12" s="144">
        <v>3000</v>
      </c>
      <c r="C12" s="144"/>
    </row>
    <row r="13" spans="1:3" x14ac:dyDescent="0.3">
      <c r="A13" s="143" t="s">
        <v>9</v>
      </c>
      <c r="B13" s="49">
        <f>B3/B4</f>
        <v>7.5675675675675675</v>
      </c>
      <c r="C13" s="49"/>
    </row>
    <row r="14" spans="1:3" x14ac:dyDescent="0.3">
      <c r="A14" s="143" t="s">
        <v>10</v>
      </c>
      <c r="B14" s="49">
        <f>B4/B5</f>
        <v>4.625</v>
      </c>
      <c r="C14" s="49"/>
    </row>
    <row r="15" spans="1:3" x14ac:dyDescent="0.3">
      <c r="A15" s="143" t="s">
        <v>11</v>
      </c>
      <c r="B15" s="49">
        <f>B3/B6</f>
        <v>17.5</v>
      </c>
      <c r="C15" s="49"/>
    </row>
    <row r="16" spans="1:3" x14ac:dyDescent="0.3">
      <c r="A16" s="143" t="s">
        <v>12</v>
      </c>
      <c r="B16" s="49">
        <f>B3/(B8*B3*B4*B5)^(1/3)</f>
        <v>7.0683985547737125</v>
      </c>
      <c r="C16" s="49"/>
    </row>
    <row r="17" spans="1:27" x14ac:dyDescent="0.3">
      <c r="A17" s="143" t="s">
        <v>13</v>
      </c>
      <c r="B17" s="49">
        <f>CONVERT(B9,"kn","m/sec")/SQRT(9.81*B3)</f>
        <v>0.1766840994720856</v>
      </c>
      <c r="C17" s="49"/>
    </row>
    <row r="19" spans="1:27" ht="15" thickBot="1" x14ac:dyDescent="0.35"/>
    <row r="20" spans="1:27" x14ac:dyDescent="0.3">
      <c r="A20" s="249" t="s">
        <v>338</v>
      </c>
      <c r="B20" s="250"/>
      <c r="C20" s="251"/>
    </row>
    <row r="21" spans="1:27" ht="15" thickBot="1" x14ac:dyDescent="0.35">
      <c r="A21" s="252"/>
      <c r="B21" s="253"/>
      <c r="C21" s="254"/>
    </row>
    <row r="24" spans="1:27" ht="15" thickBot="1" x14ac:dyDescent="0.35"/>
    <row r="25" spans="1:27" x14ac:dyDescent="0.3">
      <c r="A25" s="87"/>
      <c r="B25" s="86"/>
      <c r="C25" s="238" t="s">
        <v>17</v>
      </c>
      <c r="D25" s="239"/>
      <c r="E25" s="239"/>
      <c r="F25" s="240"/>
      <c r="G25" s="86"/>
      <c r="H25" s="85"/>
      <c r="J25" s="87"/>
      <c r="K25" s="86"/>
      <c r="L25" s="232" t="s">
        <v>18</v>
      </c>
      <c r="M25" s="233"/>
      <c r="N25" s="233"/>
      <c r="O25" s="234"/>
      <c r="P25" s="86"/>
      <c r="Q25" s="85"/>
      <c r="S25" s="87"/>
      <c r="T25" s="86"/>
      <c r="U25" s="232" t="s">
        <v>19</v>
      </c>
      <c r="V25" s="233"/>
      <c r="W25" s="233"/>
      <c r="X25" s="234"/>
      <c r="Y25" s="86"/>
      <c r="Z25" s="85"/>
    </row>
    <row r="26" spans="1:27" ht="15" thickBot="1" x14ac:dyDescent="0.35">
      <c r="A26" s="84"/>
      <c r="B26" s="46"/>
      <c r="C26" s="241"/>
      <c r="D26" s="242"/>
      <c r="E26" s="242"/>
      <c r="F26" s="243"/>
      <c r="G26" s="46"/>
      <c r="H26" s="83"/>
      <c r="J26" s="84"/>
      <c r="K26" s="46"/>
      <c r="L26" s="235"/>
      <c r="M26" s="236"/>
      <c r="N26" s="236"/>
      <c r="O26" s="237"/>
      <c r="P26" s="46"/>
      <c r="Q26" s="83"/>
      <c r="S26" s="84"/>
      <c r="T26" s="46"/>
      <c r="U26" s="235"/>
      <c r="V26" s="236"/>
      <c r="W26" s="236"/>
      <c r="X26" s="237"/>
      <c r="Y26" s="46"/>
      <c r="Z26" s="83"/>
    </row>
    <row r="27" spans="1:27" ht="14.25" customHeight="1" x14ac:dyDescent="0.3">
      <c r="A27" s="84"/>
      <c r="B27" s="46"/>
      <c r="C27" s="46"/>
      <c r="D27" s="46"/>
      <c r="E27" s="46"/>
      <c r="F27" s="46"/>
      <c r="G27" s="46"/>
      <c r="H27" s="83"/>
      <c r="J27" s="84"/>
      <c r="K27" s="46"/>
      <c r="L27" s="46"/>
      <c r="M27" s="46"/>
      <c r="N27" s="46"/>
      <c r="O27" s="46"/>
      <c r="P27" s="46"/>
      <c r="Q27" s="83"/>
      <c r="S27" s="84"/>
      <c r="T27" s="46"/>
      <c r="U27" s="46"/>
      <c r="V27" s="46"/>
      <c r="W27" s="46"/>
      <c r="X27" s="46"/>
      <c r="Y27" s="46"/>
      <c r="Z27" s="83"/>
    </row>
    <row r="28" spans="1:27" ht="15" hidden="1" customHeight="1" x14ac:dyDescent="0.3">
      <c r="A28" s="84"/>
      <c r="B28" s="46"/>
      <c r="C28" s="46"/>
      <c r="D28" s="46"/>
      <c r="E28" s="46"/>
      <c r="F28" s="46"/>
      <c r="G28" s="46"/>
      <c r="H28" s="83"/>
      <c r="J28" s="84"/>
      <c r="K28" s="46"/>
      <c r="L28" s="46"/>
      <c r="M28" s="46"/>
      <c r="N28" s="46"/>
      <c r="O28" s="46"/>
      <c r="P28" s="46"/>
      <c r="Q28" s="83"/>
      <c r="S28" s="84"/>
      <c r="T28" s="46"/>
      <c r="U28" s="46"/>
      <c r="V28" s="46"/>
      <c r="W28" s="46"/>
      <c r="X28" s="46"/>
      <c r="Y28" s="46"/>
      <c r="Z28" s="83"/>
    </row>
    <row r="29" spans="1:27" ht="32.25" customHeight="1" x14ac:dyDescent="0.3">
      <c r="A29" s="84"/>
      <c r="B29" s="46"/>
      <c r="C29" s="46"/>
      <c r="D29" s="46"/>
      <c r="E29" s="46"/>
      <c r="F29" s="46"/>
      <c r="G29" s="46"/>
      <c r="H29" s="83"/>
      <c r="J29" s="84"/>
      <c r="K29" s="46"/>
      <c r="L29" s="46"/>
      <c r="M29" s="46"/>
      <c r="N29" s="46"/>
      <c r="O29" s="46"/>
      <c r="P29" s="46"/>
      <c r="Q29" s="83"/>
      <c r="S29" s="84"/>
      <c r="T29" s="46"/>
      <c r="U29" s="46"/>
      <c r="V29" s="46"/>
      <c r="W29" s="46"/>
      <c r="X29" s="46"/>
      <c r="Y29" s="46"/>
      <c r="Z29" s="83"/>
      <c r="AA29" s="1"/>
    </row>
    <row r="30" spans="1:27" x14ac:dyDescent="0.3">
      <c r="A30" s="84"/>
      <c r="B30" s="46"/>
      <c r="C30" s="46"/>
      <c r="D30" s="46"/>
      <c r="E30" s="46"/>
      <c r="F30" s="46"/>
      <c r="G30" s="46"/>
      <c r="H30" s="83"/>
      <c r="J30" s="84"/>
      <c r="K30" s="46"/>
      <c r="L30" s="46"/>
      <c r="M30" s="46"/>
      <c r="N30" s="46"/>
      <c r="O30" s="46"/>
      <c r="P30" s="46"/>
      <c r="Q30" s="83"/>
      <c r="S30" s="84"/>
      <c r="T30" s="46"/>
      <c r="U30" s="46"/>
      <c r="V30" s="46"/>
      <c r="W30" s="46"/>
      <c r="X30" s="46"/>
      <c r="Y30" s="46"/>
      <c r="Z30" s="83"/>
    </row>
    <row r="31" spans="1:27" x14ac:dyDescent="0.3">
      <c r="A31" s="84"/>
      <c r="B31" s="46"/>
      <c r="C31" s="46"/>
      <c r="D31" s="46"/>
      <c r="E31" s="46"/>
      <c r="F31" s="46"/>
      <c r="G31" s="46"/>
      <c r="H31" s="83"/>
      <c r="J31" s="84"/>
      <c r="K31" s="46"/>
      <c r="L31" s="46"/>
      <c r="M31" s="46"/>
      <c r="N31" s="46"/>
      <c r="O31" s="46"/>
      <c r="P31" s="46"/>
      <c r="Q31" s="83"/>
      <c r="S31" s="84"/>
      <c r="T31" s="46"/>
      <c r="U31" s="46"/>
      <c r="V31" s="46"/>
      <c r="W31" s="46"/>
      <c r="X31" s="46"/>
      <c r="Y31" s="46"/>
      <c r="Z31" s="83"/>
    </row>
    <row r="32" spans="1:27" x14ac:dyDescent="0.3">
      <c r="A32" s="84"/>
      <c r="B32" s="46"/>
      <c r="C32" s="46"/>
      <c r="D32" s="46"/>
      <c r="E32" s="46"/>
      <c r="F32" s="46"/>
      <c r="G32" s="46"/>
      <c r="H32" s="83"/>
      <c r="J32" s="84"/>
      <c r="K32" s="46"/>
      <c r="L32" s="46"/>
      <c r="M32" s="46"/>
      <c r="N32" s="46"/>
      <c r="O32" s="46"/>
      <c r="P32" s="46"/>
      <c r="Q32" s="83"/>
      <c r="S32" s="84"/>
      <c r="T32" s="46"/>
      <c r="U32" s="46"/>
      <c r="V32" s="46"/>
      <c r="W32" s="46"/>
      <c r="X32" s="46"/>
      <c r="Y32" s="46"/>
      <c r="Z32" s="83"/>
    </row>
    <row r="33" spans="1:26" x14ac:dyDescent="0.3">
      <c r="A33" s="84"/>
      <c r="B33" s="46"/>
      <c r="C33" s="46"/>
      <c r="D33" s="46"/>
      <c r="E33" s="46"/>
      <c r="F33" s="46"/>
      <c r="G33" s="46"/>
      <c r="H33" s="83"/>
      <c r="J33" s="84"/>
      <c r="K33" s="46"/>
      <c r="L33" s="46"/>
      <c r="M33" s="46"/>
      <c r="N33" s="46"/>
      <c r="O33" s="46"/>
      <c r="P33" s="46"/>
      <c r="Q33" s="83"/>
      <c r="S33" s="84"/>
      <c r="T33" s="46"/>
      <c r="U33" s="46"/>
      <c r="V33" s="46"/>
      <c r="W33" s="46"/>
      <c r="X33" s="46"/>
      <c r="Y33" s="46"/>
      <c r="Z33" s="83"/>
    </row>
    <row r="34" spans="1:26" ht="13.5" customHeight="1" x14ac:dyDescent="0.3">
      <c r="A34" s="84"/>
      <c r="B34" s="46"/>
      <c r="C34" s="46"/>
      <c r="D34" s="46"/>
      <c r="E34" s="46"/>
      <c r="F34" s="46"/>
      <c r="G34" s="46"/>
      <c r="H34" s="83"/>
      <c r="J34" s="84"/>
      <c r="K34" s="46"/>
      <c r="L34" s="46"/>
      <c r="M34" s="46"/>
      <c r="N34" s="46"/>
      <c r="O34" s="46"/>
      <c r="P34" s="46"/>
      <c r="Q34" s="83"/>
      <c r="S34" s="84"/>
      <c r="T34" s="46"/>
      <c r="U34" s="46"/>
      <c r="V34" s="46"/>
      <c r="W34" s="46"/>
      <c r="X34" s="46"/>
      <c r="Y34" s="46"/>
      <c r="Z34" s="83"/>
    </row>
    <row r="35" spans="1:26" x14ac:dyDescent="0.3">
      <c r="A35" s="84"/>
      <c r="B35" s="46"/>
      <c r="C35" s="46"/>
      <c r="D35" s="46"/>
      <c r="E35" s="46"/>
      <c r="F35" s="46"/>
      <c r="G35" s="46"/>
      <c r="H35" s="83"/>
      <c r="J35" s="84"/>
      <c r="K35" s="46"/>
      <c r="L35" s="46"/>
      <c r="M35" s="46"/>
      <c r="N35" s="46"/>
      <c r="O35" s="46"/>
      <c r="P35" s="46"/>
      <c r="Q35" s="83"/>
      <c r="S35" s="84"/>
      <c r="T35" s="46"/>
      <c r="U35" s="46"/>
      <c r="V35" s="46"/>
      <c r="W35" s="46"/>
      <c r="X35" s="46"/>
      <c r="Y35" s="46"/>
      <c r="Z35" s="83"/>
    </row>
    <row r="36" spans="1:26" x14ac:dyDescent="0.3">
      <c r="A36" s="84"/>
      <c r="B36" s="46"/>
      <c r="C36" s="46"/>
      <c r="D36" s="46"/>
      <c r="E36" s="46"/>
      <c r="F36" s="46"/>
      <c r="G36" s="46"/>
      <c r="H36" s="83"/>
      <c r="J36" s="84"/>
      <c r="K36" s="46"/>
      <c r="L36" s="46"/>
      <c r="M36" s="46"/>
      <c r="N36" s="46"/>
      <c r="O36" s="46"/>
      <c r="P36" s="46"/>
      <c r="Q36" s="83"/>
      <c r="S36" s="84"/>
      <c r="T36" s="46"/>
      <c r="U36" s="46"/>
      <c r="V36" s="46"/>
      <c r="W36" s="46"/>
      <c r="X36" s="46"/>
      <c r="Y36" s="46"/>
      <c r="Z36" s="83"/>
    </row>
    <row r="37" spans="1:26" x14ac:dyDescent="0.3">
      <c r="A37" s="84"/>
      <c r="B37" s="46"/>
      <c r="C37" s="46"/>
      <c r="D37" s="46"/>
      <c r="E37" s="46"/>
      <c r="F37" s="46"/>
      <c r="G37" s="46"/>
      <c r="H37" s="83"/>
      <c r="J37" s="84"/>
      <c r="K37" s="46"/>
      <c r="L37" s="46"/>
      <c r="M37" s="46"/>
      <c r="N37" s="46"/>
      <c r="O37" s="46"/>
      <c r="P37" s="46"/>
      <c r="Q37" s="83"/>
      <c r="S37" s="84"/>
      <c r="T37" s="46"/>
      <c r="U37" s="46"/>
      <c r="V37" s="46"/>
      <c r="W37" s="46"/>
      <c r="X37" s="46"/>
      <c r="Y37" s="46"/>
      <c r="Z37" s="83"/>
    </row>
    <row r="38" spans="1:26" x14ac:dyDescent="0.3">
      <c r="A38" s="84"/>
      <c r="B38" s="46"/>
      <c r="C38" s="46"/>
      <c r="D38" s="46"/>
      <c r="E38" s="46"/>
      <c r="F38" s="46"/>
      <c r="G38" s="46"/>
      <c r="H38" s="83"/>
      <c r="J38" s="84"/>
      <c r="K38" s="46"/>
      <c r="L38" s="46"/>
      <c r="M38" s="46"/>
      <c r="N38" s="46"/>
      <c r="O38" s="46"/>
      <c r="P38" s="46"/>
      <c r="Q38" s="83"/>
      <c r="S38" s="84"/>
      <c r="T38" s="46"/>
      <c r="U38" s="46"/>
      <c r="V38" s="46"/>
      <c r="W38" s="46"/>
      <c r="X38" s="46"/>
      <c r="Y38" s="46"/>
      <c r="Z38" s="83"/>
    </row>
    <row r="39" spans="1:26" x14ac:dyDescent="0.3">
      <c r="A39" s="84"/>
      <c r="B39" s="46"/>
      <c r="C39" s="46"/>
      <c r="D39" s="46"/>
      <c r="E39" s="46"/>
      <c r="F39" s="46"/>
      <c r="G39" s="46"/>
      <c r="H39" s="83"/>
      <c r="J39" s="84"/>
      <c r="K39" s="46"/>
      <c r="L39" s="46"/>
      <c r="M39" s="46"/>
      <c r="N39" s="46"/>
      <c r="O39" s="46"/>
      <c r="P39" s="46"/>
      <c r="Q39" s="83"/>
      <c r="S39" s="84"/>
      <c r="T39" s="46"/>
      <c r="U39" s="46"/>
      <c r="V39" s="46"/>
      <c r="W39" s="46"/>
      <c r="X39" s="46"/>
      <c r="Y39" s="46"/>
      <c r="Z39" s="83"/>
    </row>
    <row r="40" spans="1:26" x14ac:dyDescent="0.3">
      <c r="A40" s="84"/>
      <c r="B40" s="46"/>
      <c r="C40" s="46"/>
      <c r="D40" s="46"/>
      <c r="E40" s="46"/>
      <c r="F40" s="46"/>
      <c r="G40" s="46"/>
      <c r="H40" s="83"/>
      <c r="J40" s="84"/>
      <c r="K40" s="46"/>
      <c r="L40" s="46"/>
      <c r="M40" s="46"/>
      <c r="N40" s="46"/>
      <c r="O40" s="46"/>
      <c r="P40" s="46"/>
      <c r="Q40" s="83"/>
      <c r="S40" s="84"/>
      <c r="T40" s="46"/>
      <c r="U40" s="46"/>
      <c r="V40" s="46"/>
      <c r="W40" s="46"/>
      <c r="X40" s="46"/>
      <c r="Y40" s="46"/>
      <c r="Z40" s="83"/>
    </row>
    <row r="41" spans="1:26" x14ac:dyDescent="0.3">
      <c r="A41" s="84"/>
      <c r="B41" s="46"/>
      <c r="C41" s="46"/>
      <c r="D41" s="46"/>
      <c r="E41" s="46"/>
      <c r="F41" s="46"/>
      <c r="G41" s="46"/>
      <c r="H41" s="83"/>
      <c r="J41" s="84"/>
      <c r="K41" s="46"/>
      <c r="L41" s="46"/>
      <c r="M41" s="46"/>
      <c r="N41" s="46"/>
      <c r="O41" s="46"/>
      <c r="P41" s="46"/>
      <c r="Q41" s="83"/>
      <c r="S41" s="84"/>
      <c r="T41" s="46"/>
      <c r="U41" s="46"/>
      <c r="V41" s="46"/>
      <c r="W41" s="46"/>
      <c r="X41" s="46"/>
      <c r="Y41" s="46"/>
      <c r="Z41" s="83"/>
    </row>
    <row r="42" spans="1:26" ht="15" thickBot="1" x14ac:dyDescent="0.35">
      <c r="A42" s="82"/>
      <c r="B42" s="81"/>
      <c r="C42" s="81"/>
      <c r="D42" s="81"/>
      <c r="E42" s="81"/>
      <c r="F42" s="81"/>
      <c r="G42" s="81"/>
      <c r="H42" s="80"/>
      <c r="J42" s="82"/>
      <c r="K42" s="81"/>
      <c r="L42" s="81"/>
      <c r="M42" s="81"/>
      <c r="N42" s="81"/>
      <c r="O42" s="81"/>
      <c r="P42" s="81"/>
      <c r="Q42" s="80"/>
      <c r="S42" s="82"/>
      <c r="T42" s="81"/>
      <c r="U42" s="81"/>
      <c r="V42" s="81"/>
      <c r="W42" s="81"/>
      <c r="X42" s="81"/>
      <c r="Y42" s="81"/>
      <c r="Z42" s="80"/>
    </row>
    <row r="44" spans="1:26" ht="15" thickBot="1" x14ac:dyDescent="0.35"/>
    <row r="45" spans="1:26" x14ac:dyDescent="0.3">
      <c r="A45" s="87"/>
      <c r="B45" s="86"/>
      <c r="C45" s="232" t="s">
        <v>236</v>
      </c>
      <c r="D45" s="234"/>
      <c r="E45" s="86"/>
      <c r="F45" s="86"/>
      <c r="G45" s="86"/>
      <c r="H45" s="85"/>
      <c r="J45" s="87"/>
      <c r="K45" s="86"/>
      <c r="L45" s="86"/>
      <c r="M45" s="256" t="s">
        <v>237</v>
      </c>
      <c r="N45" s="257"/>
      <c r="O45" s="86"/>
      <c r="P45" s="86"/>
      <c r="Q45" s="85"/>
      <c r="S45" s="87"/>
      <c r="T45" s="86"/>
      <c r="U45" s="86"/>
      <c r="V45" s="238" t="s">
        <v>339</v>
      </c>
      <c r="W45" s="240"/>
      <c r="X45" s="86"/>
      <c r="Y45" s="86"/>
      <c r="Z45" s="85"/>
    </row>
    <row r="46" spans="1:26" ht="15" thickBot="1" x14ac:dyDescent="0.35">
      <c r="A46" s="84"/>
      <c r="B46" s="46"/>
      <c r="C46" s="235"/>
      <c r="D46" s="237"/>
      <c r="E46" s="46"/>
      <c r="F46" s="46"/>
      <c r="G46" s="46"/>
      <c r="H46" s="83"/>
      <c r="J46" s="84"/>
      <c r="K46" s="46"/>
      <c r="L46" s="46"/>
      <c r="M46" s="258"/>
      <c r="N46" s="259"/>
      <c r="O46" s="46"/>
      <c r="P46" s="46"/>
      <c r="Q46" s="83"/>
      <c r="S46" s="84"/>
      <c r="T46" s="46"/>
      <c r="U46" s="46"/>
      <c r="V46" s="241"/>
      <c r="W46" s="243"/>
      <c r="X46" s="46"/>
      <c r="Y46" s="46"/>
      <c r="Z46" s="83"/>
    </row>
    <row r="47" spans="1:26" x14ac:dyDescent="0.3">
      <c r="A47" s="84"/>
      <c r="B47" s="46"/>
      <c r="C47" s="46"/>
      <c r="D47" s="46"/>
      <c r="E47" s="46"/>
      <c r="F47" s="46"/>
      <c r="G47" s="46"/>
      <c r="H47" s="83"/>
      <c r="J47" s="84"/>
      <c r="K47" s="46"/>
      <c r="L47" s="46"/>
      <c r="M47" s="46"/>
      <c r="N47" s="46"/>
      <c r="O47" s="46"/>
      <c r="P47" s="46"/>
      <c r="Q47" s="83"/>
      <c r="S47" s="84"/>
      <c r="T47" s="46"/>
      <c r="U47" s="46"/>
      <c r="V47" s="46"/>
      <c r="W47" s="46"/>
      <c r="X47" s="46"/>
      <c r="Y47" s="46"/>
      <c r="Z47" s="83"/>
    </row>
    <row r="48" spans="1:26" x14ac:dyDescent="0.3">
      <c r="A48" s="84"/>
      <c r="B48" s="46"/>
      <c r="C48" s="46"/>
      <c r="D48" s="46"/>
      <c r="E48" s="46"/>
      <c r="F48" s="46"/>
      <c r="G48" s="46"/>
      <c r="H48" s="83"/>
      <c r="J48" s="84"/>
      <c r="K48" s="46"/>
      <c r="L48" s="46"/>
      <c r="M48" s="46"/>
      <c r="N48" s="46"/>
      <c r="O48" s="46"/>
      <c r="P48" s="46"/>
      <c r="Q48" s="83"/>
      <c r="S48" s="84"/>
      <c r="T48" s="46"/>
      <c r="U48" s="46"/>
      <c r="V48" s="46"/>
      <c r="W48" s="46"/>
      <c r="X48" s="46"/>
      <c r="Y48" s="46"/>
      <c r="Z48" s="83"/>
    </row>
    <row r="49" spans="1:26" x14ac:dyDescent="0.3">
      <c r="A49" s="84"/>
      <c r="B49" s="46"/>
      <c r="C49" s="46"/>
      <c r="D49" s="46"/>
      <c r="E49" s="46"/>
      <c r="F49" s="46"/>
      <c r="G49" s="46"/>
      <c r="H49" s="83"/>
      <c r="J49" s="84"/>
      <c r="K49" s="46"/>
      <c r="L49" s="46"/>
      <c r="M49" s="46"/>
      <c r="N49" s="46"/>
      <c r="O49" s="46"/>
      <c r="P49" s="46"/>
      <c r="Q49" s="83"/>
      <c r="S49" s="84"/>
      <c r="T49" s="46"/>
      <c r="U49" s="46"/>
      <c r="V49" s="46"/>
      <c r="W49" s="46"/>
      <c r="X49" s="46"/>
      <c r="Y49" s="46"/>
      <c r="Z49" s="83"/>
    </row>
    <row r="50" spans="1:26" x14ac:dyDescent="0.3">
      <c r="A50" s="84"/>
      <c r="B50" s="46"/>
      <c r="C50" s="46"/>
      <c r="D50" s="46"/>
      <c r="E50" s="46"/>
      <c r="F50" s="46"/>
      <c r="G50" s="46"/>
      <c r="H50" s="83"/>
      <c r="J50" s="84"/>
      <c r="K50" s="46"/>
      <c r="L50" s="46"/>
      <c r="M50" s="46"/>
      <c r="N50" s="46"/>
      <c r="O50" s="46"/>
      <c r="P50" s="46"/>
      <c r="Q50" s="83"/>
      <c r="S50" s="84"/>
      <c r="T50" s="46"/>
      <c r="U50" s="46"/>
      <c r="V50" s="46"/>
      <c r="W50" s="46"/>
      <c r="X50" s="46"/>
      <c r="Y50" s="46"/>
      <c r="Z50" s="83"/>
    </row>
    <row r="51" spans="1:26" x14ac:dyDescent="0.3">
      <c r="A51" s="84"/>
      <c r="B51" s="46"/>
      <c r="C51" s="46"/>
      <c r="D51" s="46"/>
      <c r="E51" s="46"/>
      <c r="F51" s="46"/>
      <c r="G51" s="46"/>
      <c r="H51" s="83"/>
      <c r="J51" s="84"/>
      <c r="K51" s="46"/>
      <c r="L51" s="46"/>
      <c r="M51" s="46"/>
      <c r="N51" s="46"/>
      <c r="O51" s="46"/>
      <c r="P51" s="46"/>
      <c r="Q51" s="83"/>
      <c r="S51" s="84"/>
      <c r="T51" s="46"/>
      <c r="U51" s="46"/>
      <c r="V51" s="46"/>
      <c r="W51" s="46"/>
      <c r="X51" s="46"/>
      <c r="Y51" s="46"/>
      <c r="Z51" s="83"/>
    </row>
    <row r="52" spans="1:26" x14ac:dyDescent="0.3">
      <c r="A52" s="84"/>
      <c r="B52" s="46"/>
      <c r="C52" s="46"/>
      <c r="D52" s="46"/>
      <c r="E52" s="46"/>
      <c r="F52" s="46"/>
      <c r="G52" s="46"/>
      <c r="H52" s="83"/>
      <c r="J52" s="84"/>
      <c r="K52" s="46"/>
      <c r="L52" s="46"/>
      <c r="M52" s="46"/>
      <c r="N52" s="46"/>
      <c r="O52" s="46"/>
      <c r="P52" s="46"/>
      <c r="Q52" s="83"/>
      <c r="S52" s="84"/>
      <c r="T52" s="46"/>
      <c r="U52" s="46"/>
      <c r="V52" s="46"/>
      <c r="W52" s="46"/>
      <c r="X52" s="46"/>
      <c r="Y52" s="46"/>
      <c r="Z52" s="83"/>
    </row>
    <row r="53" spans="1:26" x14ac:dyDescent="0.3">
      <c r="A53" s="84"/>
      <c r="B53" s="46"/>
      <c r="C53" s="46"/>
      <c r="D53" s="46"/>
      <c r="E53" s="46"/>
      <c r="F53" s="46"/>
      <c r="G53" s="46"/>
      <c r="H53" s="83"/>
      <c r="J53" s="84"/>
      <c r="K53" s="46"/>
      <c r="L53" s="46"/>
      <c r="M53" s="46"/>
      <c r="N53" s="46"/>
      <c r="O53" s="46"/>
      <c r="P53" s="46"/>
      <c r="Q53" s="83"/>
      <c r="S53" s="84"/>
      <c r="T53" s="46"/>
      <c r="U53" s="46"/>
      <c r="V53" s="46"/>
      <c r="W53" s="46"/>
      <c r="X53" s="46"/>
      <c r="Y53" s="46"/>
      <c r="Z53" s="83"/>
    </row>
    <row r="54" spans="1:26" x14ac:dyDescent="0.3">
      <c r="A54" s="84"/>
      <c r="B54" s="46"/>
      <c r="C54" s="46"/>
      <c r="D54" s="46"/>
      <c r="E54" s="46"/>
      <c r="F54" s="46"/>
      <c r="G54" s="46"/>
      <c r="H54" s="83"/>
      <c r="J54" s="84"/>
      <c r="K54" s="46"/>
      <c r="L54" s="46"/>
      <c r="M54" s="46"/>
      <c r="N54" s="46"/>
      <c r="O54" s="46"/>
      <c r="P54" s="46"/>
      <c r="Q54" s="83"/>
      <c r="S54" s="84"/>
      <c r="T54" s="46"/>
      <c r="U54" s="46"/>
      <c r="V54" s="46"/>
      <c r="W54" s="46"/>
      <c r="X54" s="46"/>
      <c r="Y54" s="46"/>
      <c r="Z54" s="83"/>
    </row>
    <row r="55" spans="1:26" x14ac:dyDescent="0.3">
      <c r="A55" s="84"/>
      <c r="B55" s="46"/>
      <c r="C55" s="46"/>
      <c r="D55" s="46"/>
      <c r="E55" s="46"/>
      <c r="F55" s="46"/>
      <c r="G55" s="46"/>
      <c r="H55" s="83"/>
      <c r="J55" s="84"/>
      <c r="K55" s="46"/>
      <c r="L55" s="46"/>
      <c r="M55" s="46"/>
      <c r="N55" s="46"/>
      <c r="O55" s="46"/>
      <c r="P55" s="46"/>
      <c r="Q55" s="83"/>
      <c r="S55" s="84"/>
      <c r="T55" s="46"/>
      <c r="U55" s="46"/>
      <c r="V55" s="46"/>
      <c r="W55" s="46"/>
      <c r="X55" s="46"/>
      <c r="Y55" s="46"/>
      <c r="Z55" s="83"/>
    </row>
    <row r="56" spans="1:26" x14ac:dyDescent="0.3">
      <c r="A56" s="84"/>
      <c r="B56" s="46"/>
      <c r="C56" s="46"/>
      <c r="D56" s="46"/>
      <c r="E56" s="46"/>
      <c r="F56" s="46"/>
      <c r="G56" s="46"/>
      <c r="H56" s="83"/>
      <c r="J56" s="84"/>
      <c r="K56" s="46"/>
      <c r="L56" s="46"/>
      <c r="M56" s="46"/>
      <c r="N56" s="46"/>
      <c r="O56" s="46"/>
      <c r="P56" s="46"/>
      <c r="Q56" s="83"/>
      <c r="S56" s="84"/>
      <c r="T56" s="46"/>
      <c r="U56" s="46"/>
      <c r="V56" s="46"/>
      <c r="W56" s="46"/>
      <c r="X56" s="46"/>
      <c r="Y56" s="46"/>
      <c r="Z56" s="83"/>
    </row>
    <row r="57" spans="1:26" x14ac:dyDescent="0.3">
      <c r="A57" s="84"/>
      <c r="B57" s="46"/>
      <c r="C57" s="46"/>
      <c r="D57" s="46"/>
      <c r="E57" s="46"/>
      <c r="F57" s="46"/>
      <c r="G57" s="46"/>
      <c r="H57" s="83"/>
      <c r="J57" s="84"/>
      <c r="K57" s="46"/>
      <c r="L57" s="46"/>
      <c r="M57" s="46"/>
      <c r="N57" s="46"/>
      <c r="O57" s="46"/>
      <c r="P57" s="46"/>
      <c r="Q57" s="83"/>
      <c r="S57" s="84"/>
      <c r="T57" s="46"/>
      <c r="U57" s="46"/>
      <c r="V57" s="46"/>
      <c r="W57" s="46"/>
      <c r="X57" s="46"/>
      <c r="Y57" s="46"/>
      <c r="Z57" s="83"/>
    </row>
    <row r="58" spans="1:26" x14ac:dyDescent="0.3">
      <c r="A58" s="84"/>
      <c r="B58" s="46"/>
      <c r="C58" s="46"/>
      <c r="D58" s="46"/>
      <c r="E58" s="46"/>
      <c r="F58" s="46"/>
      <c r="G58" s="46"/>
      <c r="H58" s="83"/>
      <c r="J58" s="84"/>
      <c r="K58" s="46"/>
      <c r="L58" s="46"/>
      <c r="M58" s="46"/>
      <c r="N58" s="46"/>
      <c r="O58" s="46"/>
      <c r="P58" s="46"/>
      <c r="Q58" s="83"/>
      <c r="S58" s="84"/>
      <c r="T58" s="46"/>
      <c r="U58" s="46"/>
      <c r="V58" s="46"/>
      <c r="W58" s="46"/>
      <c r="X58" s="46"/>
      <c r="Y58" s="46"/>
      <c r="Z58" s="83"/>
    </row>
    <row r="59" spans="1:26" x14ac:dyDescent="0.3">
      <c r="A59" s="84"/>
      <c r="B59" s="46"/>
      <c r="C59" s="46"/>
      <c r="D59" s="46"/>
      <c r="E59" s="46"/>
      <c r="F59" s="46"/>
      <c r="G59" s="46"/>
      <c r="H59" s="83"/>
      <c r="J59" s="84"/>
      <c r="K59" s="46"/>
      <c r="L59" s="46"/>
      <c r="M59" s="46"/>
      <c r="N59" s="46"/>
      <c r="O59" s="46"/>
      <c r="P59" s="46"/>
      <c r="Q59" s="83"/>
      <c r="S59" s="84"/>
      <c r="T59" s="46"/>
      <c r="U59" s="46"/>
      <c r="V59" s="46"/>
      <c r="W59" s="46"/>
      <c r="X59" s="46"/>
      <c r="Y59" s="46"/>
      <c r="Z59" s="83"/>
    </row>
    <row r="60" spans="1:26" x14ac:dyDescent="0.3">
      <c r="A60" s="84"/>
      <c r="B60" s="46"/>
      <c r="C60" s="46"/>
      <c r="D60" s="46"/>
      <c r="E60" s="46"/>
      <c r="F60" s="46"/>
      <c r="G60" s="46"/>
      <c r="H60" s="83"/>
      <c r="J60" s="84"/>
      <c r="K60" s="46"/>
      <c r="L60" s="46"/>
      <c r="M60" s="46"/>
      <c r="N60" s="46"/>
      <c r="O60" s="46"/>
      <c r="P60" s="46"/>
      <c r="Q60" s="83"/>
      <c r="S60" s="84"/>
      <c r="T60" s="46"/>
      <c r="U60" s="46"/>
      <c r="V60" s="46"/>
      <c r="W60" s="46"/>
      <c r="X60" s="46"/>
      <c r="Y60" s="46"/>
      <c r="Z60" s="83"/>
    </row>
    <row r="61" spans="1:26" x14ac:dyDescent="0.3">
      <c r="A61" s="84"/>
      <c r="B61" s="46"/>
      <c r="C61" s="46"/>
      <c r="D61" s="46"/>
      <c r="E61" s="46"/>
      <c r="F61" s="46"/>
      <c r="G61" s="46"/>
      <c r="H61" s="83"/>
      <c r="J61" s="84"/>
      <c r="K61" s="46"/>
      <c r="L61" s="46"/>
      <c r="M61" s="46"/>
      <c r="N61" s="46"/>
      <c r="O61" s="46"/>
      <c r="P61" s="46"/>
      <c r="Q61" s="83"/>
      <c r="S61" s="84"/>
      <c r="T61" s="46"/>
      <c r="U61" s="46"/>
      <c r="V61" s="46"/>
      <c r="W61" s="46"/>
      <c r="X61" s="46"/>
      <c r="Y61" s="46"/>
      <c r="Z61" s="83"/>
    </row>
    <row r="62" spans="1:26" ht="15" thickBot="1" x14ac:dyDescent="0.35">
      <c r="A62" s="82"/>
      <c r="B62" s="81"/>
      <c r="C62" s="81"/>
      <c r="D62" s="81"/>
      <c r="E62" s="81"/>
      <c r="F62" s="81"/>
      <c r="G62" s="81"/>
      <c r="H62" s="80"/>
      <c r="J62" s="82"/>
      <c r="K62" s="81"/>
      <c r="L62" s="81"/>
      <c r="M62" s="81"/>
      <c r="N62" s="81"/>
      <c r="O62" s="81"/>
      <c r="P62" s="81"/>
      <c r="Q62" s="80"/>
      <c r="S62" s="82"/>
      <c r="T62" s="81"/>
      <c r="U62" s="81"/>
      <c r="V62" s="81"/>
      <c r="W62" s="81"/>
      <c r="X62" s="81"/>
      <c r="Y62" s="81"/>
      <c r="Z62" s="80"/>
    </row>
    <row r="64" spans="1:26" ht="15" thickBot="1" x14ac:dyDescent="0.35"/>
    <row r="65" spans="1:26" x14ac:dyDescent="0.3">
      <c r="A65" s="87"/>
      <c r="B65" s="86"/>
      <c r="C65" s="86"/>
      <c r="D65" s="232" t="s">
        <v>239</v>
      </c>
      <c r="E65" s="234"/>
      <c r="F65" s="86"/>
      <c r="G65" s="86"/>
      <c r="H65" s="85"/>
      <c r="J65" s="87"/>
      <c r="K65" s="86"/>
      <c r="L65" s="86"/>
      <c r="M65" s="232" t="s">
        <v>24</v>
      </c>
      <c r="N65" s="234"/>
      <c r="O65" s="86"/>
      <c r="P65" s="86"/>
      <c r="Q65" s="85"/>
      <c r="S65" s="87"/>
      <c r="T65" s="86"/>
      <c r="U65" s="232" t="s">
        <v>340</v>
      </c>
      <c r="V65" s="233"/>
      <c r="W65" s="233"/>
      <c r="X65" s="234"/>
      <c r="Y65" s="86"/>
      <c r="Z65" s="85"/>
    </row>
    <row r="66" spans="1:26" ht="15" thickBot="1" x14ac:dyDescent="0.35">
      <c r="A66" s="84"/>
      <c r="B66" s="46"/>
      <c r="C66" s="46"/>
      <c r="D66" s="235"/>
      <c r="E66" s="237"/>
      <c r="F66" s="46"/>
      <c r="G66" s="46"/>
      <c r="H66" s="83"/>
      <c r="J66" s="84"/>
      <c r="K66" s="46"/>
      <c r="L66" s="46"/>
      <c r="M66" s="235"/>
      <c r="N66" s="237"/>
      <c r="O66" s="46"/>
      <c r="P66" s="46"/>
      <c r="Q66" s="83"/>
      <c r="S66" s="84"/>
      <c r="T66" s="46"/>
      <c r="U66" s="235"/>
      <c r="V66" s="236"/>
      <c r="W66" s="236"/>
      <c r="X66" s="237"/>
      <c r="Y66" s="46"/>
      <c r="Z66" s="83"/>
    </row>
    <row r="67" spans="1:26" x14ac:dyDescent="0.3">
      <c r="A67" s="84"/>
      <c r="B67" s="46"/>
      <c r="C67" s="46"/>
      <c r="D67" s="46"/>
      <c r="E67" s="46"/>
      <c r="F67" s="46"/>
      <c r="G67" s="46"/>
      <c r="H67" s="83"/>
      <c r="J67" s="84"/>
      <c r="K67" s="46"/>
      <c r="L67" s="46"/>
      <c r="M67" s="46"/>
      <c r="N67" s="46"/>
      <c r="O67" s="46"/>
      <c r="P67" s="46"/>
      <c r="Q67" s="83"/>
      <c r="S67" s="84"/>
      <c r="T67" s="46"/>
      <c r="U67" s="46"/>
      <c r="V67" s="46"/>
      <c r="W67" s="46"/>
      <c r="X67" s="46"/>
      <c r="Y67" s="46"/>
      <c r="Z67" s="83"/>
    </row>
    <row r="68" spans="1:26" x14ac:dyDescent="0.3">
      <c r="A68" s="84"/>
      <c r="B68" s="46"/>
      <c r="C68" s="46"/>
      <c r="D68" s="46"/>
      <c r="E68" s="46"/>
      <c r="F68" s="46"/>
      <c r="G68" s="46"/>
      <c r="H68" s="83"/>
      <c r="J68" s="84"/>
      <c r="K68" s="46"/>
      <c r="L68" s="46"/>
      <c r="M68" s="46"/>
      <c r="N68" s="46"/>
      <c r="O68" s="46"/>
      <c r="P68" s="46"/>
      <c r="Q68" s="83"/>
      <c r="S68" s="84"/>
      <c r="T68" s="46"/>
      <c r="U68" s="46"/>
      <c r="V68" s="46"/>
      <c r="W68" s="46"/>
      <c r="X68" s="46"/>
      <c r="Y68" s="46"/>
      <c r="Z68" s="83"/>
    </row>
    <row r="69" spans="1:26" x14ac:dyDescent="0.3">
      <c r="A69" s="84"/>
      <c r="B69" s="46"/>
      <c r="C69" s="46"/>
      <c r="D69" s="46"/>
      <c r="E69" s="46"/>
      <c r="F69" s="46"/>
      <c r="G69" s="46"/>
      <c r="H69" s="83"/>
      <c r="J69" s="84"/>
      <c r="K69" s="46"/>
      <c r="L69" s="46"/>
      <c r="M69" s="46"/>
      <c r="N69" s="46"/>
      <c r="O69" s="46"/>
      <c r="P69" s="46"/>
      <c r="Q69" s="83"/>
      <c r="S69" s="84"/>
      <c r="T69" s="46"/>
      <c r="U69" s="46"/>
      <c r="V69" s="46"/>
      <c r="W69" s="46"/>
      <c r="X69" s="46"/>
      <c r="Y69" s="46"/>
      <c r="Z69" s="83"/>
    </row>
    <row r="70" spans="1:26" x14ac:dyDescent="0.3">
      <c r="A70" s="84"/>
      <c r="B70" s="46"/>
      <c r="C70" s="46"/>
      <c r="D70" s="46"/>
      <c r="E70" s="46"/>
      <c r="F70" s="46"/>
      <c r="G70" s="46"/>
      <c r="H70" s="83"/>
      <c r="J70" s="84"/>
      <c r="K70" s="46"/>
      <c r="L70" s="46"/>
      <c r="M70" s="46"/>
      <c r="N70" s="46"/>
      <c r="O70" s="46"/>
      <c r="P70" s="46"/>
      <c r="Q70" s="83"/>
      <c r="S70" s="84"/>
      <c r="T70" s="46"/>
      <c r="U70" s="46"/>
      <c r="V70" s="46"/>
      <c r="W70" s="46"/>
      <c r="X70" s="46"/>
      <c r="Y70" s="46"/>
      <c r="Z70" s="83"/>
    </row>
    <row r="71" spans="1:26" x14ac:dyDescent="0.3">
      <c r="A71" s="84"/>
      <c r="B71" s="46"/>
      <c r="C71" s="46"/>
      <c r="D71" s="46"/>
      <c r="E71" s="46"/>
      <c r="F71" s="46"/>
      <c r="G71" s="46"/>
      <c r="H71" s="83"/>
      <c r="J71" s="84"/>
      <c r="K71" s="46"/>
      <c r="L71" s="46"/>
      <c r="M71" s="46"/>
      <c r="N71" s="46"/>
      <c r="O71" s="46"/>
      <c r="P71" s="46"/>
      <c r="Q71" s="83"/>
      <c r="S71" s="84"/>
      <c r="T71" s="46"/>
      <c r="U71" s="46"/>
      <c r="V71" s="46"/>
      <c r="W71" s="46"/>
      <c r="X71" s="46"/>
      <c r="Y71" s="46"/>
      <c r="Z71" s="83"/>
    </row>
    <row r="72" spans="1:26" x14ac:dyDescent="0.3">
      <c r="A72" s="84"/>
      <c r="B72" s="46"/>
      <c r="C72" s="46"/>
      <c r="D72" s="46"/>
      <c r="E72" s="46"/>
      <c r="F72" s="46"/>
      <c r="G72" s="46"/>
      <c r="H72" s="83"/>
      <c r="J72" s="84"/>
      <c r="K72" s="46"/>
      <c r="L72" s="46"/>
      <c r="M72" s="46"/>
      <c r="N72" s="46"/>
      <c r="O72" s="46"/>
      <c r="P72" s="46"/>
      <c r="Q72" s="83"/>
      <c r="S72" s="84"/>
      <c r="T72" s="46"/>
      <c r="U72" s="46"/>
      <c r="V72" s="46"/>
      <c r="W72" s="46"/>
      <c r="X72" s="46"/>
      <c r="Y72" s="46"/>
      <c r="Z72" s="83"/>
    </row>
    <row r="73" spans="1:26" x14ac:dyDescent="0.3">
      <c r="A73" s="84"/>
      <c r="B73" s="46"/>
      <c r="C73" s="46"/>
      <c r="D73" s="46"/>
      <c r="E73" s="46"/>
      <c r="F73" s="46"/>
      <c r="G73" s="46"/>
      <c r="H73" s="83"/>
      <c r="J73" s="84"/>
      <c r="K73" s="46"/>
      <c r="L73" s="46"/>
      <c r="M73" s="46"/>
      <c r="N73" s="46"/>
      <c r="O73" s="46"/>
      <c r="P73" s="46"/>
      <c r="Q73" s="83"/>
      <c r="S73" s="84"/>
      <c r="T73" s="46"/>
      <c r="U73" s="46"/>
      <c r="V73" s="46"/>
      <c r="W73" s="46"/>
      <c r="X73" s="46"/>
      <c r="Y73" s="46"/>
      <c r="Z73" s="83"/>
    </row>
    <row r="74" spans="1:26" x14ac:dyDescent="0.3">
      <c r="A74" s="84"/>
      <c r="B74" s="46"/>
      <c r="C74" s="46"/>
      <c r="D74" s="46"/>
      <c r="E74" s="46"/>
      <c r="F74" s="46"/>
      <c r="G74" s="46"/>
      <c r="H74" s="83"/>
      <c r="J74" s="84"/>
      <c r="K74" s="46"/>
      <c r="L74" s="46"/>
      <c r="M74" s="46"/>
      <c r="N74" s="46"/>
      <c r="O74" s="46"/>
      <c r="P74" s="46"/>
      <c r="Q74" s="83"/>
      <c r="S74" s="84"/>
      <c r="T74" s="46"/>
      <c r="U74" s="46"/>
      <c r="V74" s="46"/>
      <c r="W74" s="46"/>
      <c r="X74" s="46"/>
      <c r="Y74" s="46"/>
      <c r="Z74" s="83"/>
    </row>
    <row r="75" spans="1:26" x14ac:dyDescent="0.3">
      <c r="A75" s="84"/>
      <c r="B75" s="46"/>
      <c r="C75" s="46"/>
      <c r="D75" s="46"/>
      <c r="E75" s="46"/>
      <c r="F75" s="46"/>
      <c r="G75" s="46"/>
      <c r="H75" s="83"/>
      <c r="J75" s="84"/>
      <c r="K75" s="46"/>
      <c r="L75" s="46"/>
      <c r="M75" s="46"/>
      <c r="N75" s="46"/>
      <c r="O75" s="46"/>
      <c r="P75" s="46"/>
      <c r="Q75" s="83"/>
      <c r="S75" s="84"/>
      <c r="T75" s="46"/>
      <c r="U75" s="46"/>
      <c r="V75" s="46"/>
      <c r="W75" s="46"/>
      <c r="X75" s="46"/>
      <c r="Y75" s="46"/>
      <c r="Z75" s="83"/>
    </row>
    <row r="76" spans="1:26" x14ac:dyDescent="0.3">
      <c r="A76" s="84"/>
      <c r="B76" s="46"/>
      <c r="C76" s="46"/>
      <c r="D76" s="46"/>
      <c r="E76" s="46"/>
      <c r="F76" s="46"/>
      <c r="G76" s="46"/>
      <c r="H76" s="83"/>
      <c r="J76" s="84"/>
      <c r="K76" s="46"/>
      <c r="L76" s="46"/>
      <c r="M76" s="46"/>
      <c r="N76" s="46"/>
      <c r="O76" s="46"/>
      <c r="P76" s="46"/>
      <c r="Q76" s="83"/>
      <c r="S76" s="84"/>
      <c r="T76" s="46"/>
      <c r="U76" s="46"/>
      <c r="V76" s="46"/>
      <c r="W76" s="46"/>
      <c r="X76" s="46"/>
      <c r="Y76" s="46"/>
      <c r="Z76" s="83"/>
    </row>
    <row r="77" spans="1:26" x14ac:dyDescent="0.3">
      <c r="A77" s="84"/>
      <c r="B77" s="46"/>
      <c r="C77" s="46"/>
      <c r="D77" s="46"/>
      <c r="E77" s="46"/>
      <c r="F77" s="46"/>
      <c r="G77" s="46"/>
      <c r="H77" s="83"/>
      <c r="J77" s="84"/>
      <c r="K77" s="46"/>
      <c r="L77" s="46"/>
      <c r="M77" s="46"/>
      <c r="N77" s="46"/>
      <c r="O77" s="46"/>
      <c r="P77" s="46"/>
      <c r="Q77" s="83"/>
      <c r="S77" s="84"/>
      <c r="T77" s="46"/>
      <c r="U77" s="46"/>
      <c r="V77" s="46"/>
      <c r="W77" s="46"/>
      <c r="X77" s="46"/>
      <c r="Y77" s="46"/>
      <c r="Z77" s="83"/>
    </row>
    <row r="78" spans="1:26" x14ac:dyDescent="0.3">
      <c r="A78" s="84"/>
      <c r="B78" s="46"/>
      <c r="C78" s="46"/>
      <c r="D78" s="46"/>
      <c r="E78" s="46"/>
      <c r="F78" s="46"/>
      <c r="G78" s="46"/>
      <c r="H78" s="83"/>
      <c r="J78" s="84"/>
      <c r="K78" s="46"/>
      <c r="L78" s="46"/>
      <c r="M78" s="46"/>
      <c r="N78" s="46"/>
      <c r="O78" s="46"/>
      <c r="P78" s="46"/>
      <c r="Q78" s="83"/>
      <c r="S78" s="84"/>
      <c r="T78" s="46"/>
      <c r="U78" s="46"/>
      <c r="V78" s="46"/>
      <c r="W78" s="46"/>
      <c r="X78" s="46"/>
      <c r="Y78" s="46"/>
      <c r="Z78" s="83"/>
    </row>
    <row r="79" spans="1:26" x14ac:dyDescent="0.3">
      <c r="A79" s="84"/>
      <c r="B79" s="46"/>
      <c r="C79" s="46"/>
      <c r="D79" s="46"/>
      <c r="E79" s="46"/>
      <c r="F79" s="46"/>
      <c r="G79" s="46"/>
      <c r="H79" s="83"/>
      <c r="J79" s="84"/>
      <c r="K79" s="46"/>
      <c r="L79" s="46"/>
      <c r="M79" s="46"/>
      <c r="N79" s="46"/>
      <c r="O79" s="46"/>
      <c r="P79" s="46"/>
      <c r="Q79" s="83"/>
      <c r="S79" s="84"/>
      <c r="T79" s="46"/>
      <c r="U79" s="46"/>
      <c r="V79" s="46"/>
      <c r="W79" s="46"/>
      <c r="X79" s="46"/>
      <c r="Y79" s="46"/>
      <c r="Z79" s="83"/>
    </row>
    <row r="80" spans="1:26" x14ac:dyDescent="0.3">
      <c r="A80" s="84"/>
      <c r="B80" s="46"/>
      <c r="C80" s="46"/>
      <c r="D80" s="46"/>
      <c r="E80" s="46"/>
      <c r="F80" s="46"/>
      <c r="G80" s="46"/>
      <c r="H80" s="83"/>
      <c r="J80" s="84"/>
      <c r="K80" s="46"/>
      <c r="L80" s="46"/>
      <c r="M80" s="46"/>
      <c r="N80" s="46"/>
      <c r="O80" s="46"/>
      <c r="P80" s="46"/>
      <c r="Q80" s="83"/>
      <c r="S80" s="84"/>
      <c r="T80" s="46"/>
      <c r="U80" s="46"/>
      <c r="V80" s="46"/>
      <c r="W80" s="46"/>
      <c r="X80" s="46"/>
      <c r="Y80" s="46"/>
      <c r="Z80" s="83"/>
    </row>
    <row r="81" spans="1:26" x14ac:dyDescent="0.3">
      <c r="A81" s="84"/>
      <c r="B81" s="46"/>
      <c r="C81" s="46"/>
      <c r="D81" s="46"/>
      <c r="E81" s="46"/>
      <c r="F81" s="46"/>
      <c r="G81" s="46"/>
      <c r="H81" s="83"/>
      <c r="J81" s="84"/>
      <c r="K81" s="46"/>
      <c r="L81" s="46"/>
      <c r="M81" s="46"/>
      <c r="N81" s="46"/>
      <c r="O81" s="46"/>
      <c r="P81" s="46"/>
      <c r="Q81" s="83"/>
      <c r="S81" s="84"/>
      <c r="T81" s="46"/>
      <c r="U81" s="46"/>
      <c r="V81" s="46"/>
      <c r="W81" s="46"/>
      <c r="X81" s="46"/>
      <c r="Y81" s="46"/>
      <c r="Z81" s="83"/>
    </row>
    <row r="82" spans="1:26" ht="15" thickBot="1" x14ac:dyDescent="0.35">
      <c r="A82" s="82"/>
      <c r="B82" s="81"/>
      <c r="C82" s="81"/>
      <c r="D82" s="81"/>
      <c r="E82" s="81"/>
      <c r="F82" s="81"/>
      <c r="G82" s="81"/>
      <c r="H82" s="80"/>
      <c r="J82" s="82"/>
      <c r="K82" s="81"/>
      <c r="L82" s="81"/>
      <c r="M82" s="81"/>
      <c r="N82" s="81"/>
      <c r="O82" s="81"/>
      <c r="P82" s="81"/>
      <c r="Q82" s="80"/>
      <c r="S82" s="82"/>
      <c r="T82" s="81"/>
      <c r="U82" s="81"/>
      <c r="V82" s="81"/>
      <c r="W82" s="81"/>
      <c r="X82" s="81"/>
      <c r="Y82" s="81"/>
      <c r="Z82" s="80"/>
    </row>
    <row r="84" spans="1:26" ht="15" thickBot="1" x14ac:dyDescent="0.35"/>
    <row r="85" spans="1:26" x14ac:dyDescent="0.3">
      <c r="A85" s="87"/>
      <c r="B85" s="86"/>
      <c r="C85" s="86"/>
      <c r="D85" s="238" t="s">
        <v>20</v>
      </c>
      <c r="E85" s="240"/>
      <c r="F85" s="86"/>
      <c r="G85" s="86"/>
      <c r="H85" s="85"/>
      <c r="J85" s="87"/>
      <c r="K85" s="86"/>
      <c r="L85" s="86"/>
      <c r="M85" s="256" t="s">
        <v>341</v>
      </c>
      <c r="N85" s="257"/>
      <c r="O85" s="86"/>
      <c r="P85" s="86"/>
      <c r="Q85" s="85"/>
      <c r="S85" s="87"/>
      <c r="T85" s="86"/>
      <c r="U85" s="86"/>
      <c r="V85" s="256" t="s">
        <v>242</v>
      </c>
      <c r="W85" s="257"/>
      <c r="X85" s="86"/>
      <c r="Y85" s="86"/>
      <c r="Z85" s="85"/>
    </row>
    <row r="86" spans="1:26" ht="15" thickBot="1" x14ac:dyDescent="0.35">
      <c r="A86" s="84"/>
      <c r="B86" s="46"/>
      <c r="C86" s="46"/>
      <c r="D86" s="241"/>
      <c r="E86" s="243"/>
      <c r="F86" s="46"/>
      <c r="G86" s="46"/>
      <c r="H86" s="83"/>
      <c r="J86" s="84"/>
      <c r="K86" s="46"/>
      <c r="L86" s="46"/>
      <c r="M86" s="258"/>
      <c r="N86" s="259"/>
      <c r="O86" s="46"/>
      <c r="P86" s="46"/>
      <c r="Q86" s="83"/>
      <c r="S86" s="84"/>
      <c r="T86" s="46"/>
      <c r="U86" s="46"/>
      <c r="V86" s="258"/>
      <c r="W86" s="259"/>
      <c r="X86" s="46"/>
      <c r="Y86" s="46"/>
      <c r="Z86" s="83"/>
    </row>
    <row r="87" spans="1:26" x14ac:dyDescent="0.3">
      <c r="A87" s="84"/>
      <c r="B87" s="46"/>
      <c r="C87" s="46"/>
      <c r="D87" s="46"/>
      <c r="E87" s="46"/>
      <c r="F87" s="46"/>
      <c r="G87" s="46"/>
      <c r="H87" s="83"/>
      <c r="J87" s="84"/>
      <c r="K87" s="46"/>
      <c r="L87" s="46"/>
      <c r="M87" s="46"/>
      <c r="N87" s="46"/>
      <c r="O87" s="46"/>
      <c r="P87" s="46"/>
      <c r="Q87" s="83"/>
      <c r="S87" s="84"/>
      <c r="T87" s="46"/>
      <c r="U87" s="46"/>
      <c r="V87" s="46"/>
      <c r="W87" s="46"/>
      <c r="X87" s="46"/>
      <c r="Y87" s="46"/>
      <c r="Z87" s="83"/>
    </row>
    <row r="88" spans="1:26" x14ac:dyDescent="0.3">
      <c r="A88" s="84"/>
      <c r="B88" s="46"/>
      <c r="C88" s="46"/>
      <c r="D88" s="46"/>
      <c r="E88" s="46"/>
      <c r="F88" s="46"/>
      <c r="G88" s="46"/>
      <c r="H88" s="83"/>
      <c r="J88" s="84"/>
      <c r="K88" s="46"/>
      <c r="L88" s="46"/>
      <c r="M88" s="46"/>
      <c r="N88" s="46"/>
      <c r="O88" s="46"/>
      <c r="P88" s="46"/>
      <c r="Q88" s="83"/>
      <c r="S88" s="84"/>
      <c r="T88" s="46"/>
      <c r="U88" s="46"/>
      <c r="V88" s="46"/>
      <c r="W88" s="46"/>
      <c r="X88" s="46"/>
      <c r="Y88" s="46"/>
      <c r="Z88" s="83"/>
    </row>
    <row r="89" spans="1:26" x14ac:dyDescent="0.3">
      <c r="A89" s="84"/>
      <c r="B89" s="46"/>
      <c r="C89" s="46"/>
      <c r="D89" s="46"/>
      <c r="E89" s="46"/>
      <c r="F89" s="46"/>
      <c r="G89" s="46"/>
      <c r="H89" s="83"/>
      <c r="J89" s="84"/>
      <c r="K89" s="46"/>
      <c r="L89" s="46"/>
      <c r="M89" s="46"/>
      <c r="N89" s="46"/>
      <c r="O89" s="46"/>
      <c r="P89" s="46"/>
      <c r="Q89" s="83"/>
      <c r="S89" s="84"/>
      <c r="T89" s="46"/>
      <c r="U89" s="46"/>
      <c r="V89" s="46"/>
      <c r="W89" s="46"/>
      <c r="X89" s="46"/>
      <c r="Y89" s="46"/>
      <c r="Z89" s="83"/>
    </row>
    <row r="90" spans="1:26" x14ac:dyDescent="0.3">
      <c r="A90" s="84"/>
      <c r="B90" s="46"/>
      <c r="C90" s="46"/>
      <c r="D90" s="46"/>
      <c r="E90" s="46"/>
      <c r="F90" s="46"/>
      <c r="G90" s="46"/>
      <c r="H90" s="83"/>
      <c r="J90" s="84"/>
      <c r="K90" s="46"/>
      <c r="L90" s="46"/>
      <c r="M90" s="46"/>
      <c r="N90" s="46"/>
      <c r="O90" s="46"/>
      <c r="P90" s="46"/>
      <c r="Q90" s="83"/>
      <c r="S90" s="84"/>
      <c r="T90" s="46"/>
      <c r="U90" s="46"/>
      <c r="V90" s="46"/>
      <c r="W90" s="46"/>
      <c r="X90" s="46"/>
      <c r="Y90" s="46"/>
      <c r="Z90" s="83"/>
    </row>
    <row r="91" spans="1:26" x14ac:dyDescent="0.3">
      <c r="A91" s="84"/>
      <c r="B91" s="46"/>
      <c r="C91" s="46"/>
      <c r="D91" s="46"/>
      <c r="E91" s="46"/>
      <c r="F91" s="46"/>
      <c r="G91" s="46"/>
      <c r="H91" s="83"/>
      <c r="J91" s="84"/>
      <c r="K91" s="46"/>
      <c r="L91" s="46"/>
      <c r="M91" s="46"/>
      <c r="N91" s="46"/>
      <c r="O91" s="46"/>
      <c r="P91" s="46"/>
      <c r="Q91" s="83"/>
      <c r="S91" s="84"/>
      <c r="T91" s="46"/>
      <c r="U91" s="46"/>
      <c r="V91" s="46"/>
      <c r="W91" s="46"/>
      <c r="X91" s="46"/>
      <c r="Y91" s="46"/>
      <c r="Z91" s="83"/>
    </row>
    <row r="92" spans="1:26" x14ac:dyDescent="0.3">
      <c r="A92" s="84"/>
      <c r="B92" s="46"/>
      <c r="C92" s="46"/>
      <c r="D92" s="46"/>
      <c r="E92" s="46"/>
      <c r="F92" s="46"/>
      <c r="G92" s="46"/>
      <c r="H92" s="83"/>
      <c r="J92" s="84"/>
      <c r="K92" s="46"/>
      <c r="L92" s="46"/>
      <c r="M92" s="46"/>
      <c r="N92" s="46"/>
      <c r="O92" s="46"/>
      <c r="P92" s="46"/>
      <c r="Q92" s="83"/>
      <c r="S92" s="84"/>
      <c r="T92" s="46"/>
      <c r="U92" s="46"/>
      <c r="V92" s="46"/>
      <c r="W92" s="46"/>
      <c r="X92" s="46"/>
      <c r="Y92" s="46"/>
      <c r="Z92" s="83"/>
    </row>
    <row r="93" spans="1:26" x14ac:dyDescent="0.3">
      <c r="A93" s="84"/>
      <c r="B93" s="46"/>
      <c r="C93" s="46"/>
      <c r="D93" s="46"/>
      <c r="E93" s="46"/>
      <c r="F93" s="46"/>
      <c r="G93" s="46"/>
      <c r="H93" s="83"/>
      <c r="J93" s="84"/>
      <c r="K93" s="46"/>
      <c r="L93" s="46"/>
      <c r="M93" s="46"/>
      <c r="N93" s="46"/>
      <c r="O93" s="46"/>
      <c r="P93" s="46"/>
      <c r="Q93" s="83"/>
      <c r="S93" s="84"/>
      <c r="T93" s="46"/>
      <c r="U93" s="46"/>
      <c r="V93" s="46"/>
      <c r="W93" s="46"/>
      <c r="X93" s="46"/>
      <c r="Y93" s="46"/>
      <c r="Z93" s="83"/>
    </row>
    <row r="94" spans="1:26" x14ac:dyDescent="0.3">
      <c r="A94" s="84"/>
      <c r="B94" s="46"/>
      <c r="C94" s="46"/>
      <c r="D94" s="46"/>
      <c r="E94" s="46"/>
      <c r="F94" s="46"/>
      <c r="G94" s="46"/>
      <c r="H94" s="83"/>
      <c r="J94" s="84"/>
      <c r="K94" s="46"/>
      <c r="L94" s="46"/>
      <c r="M94" s="46"/>
      <c r="N94" s="46"/>
      <c r="O94" s="46"/>
      <c r="P94" s="46"/>
      <c r="Q94" s="83"/>
      <c r="S94" s="84"/>
      <c r="T94" s="46"/>
      <c r="U94" s="46"/>
      <c r="V94" s="46"/>
      <c r="W94" s="46"/>
      <c r="X94" s="46"/>
      <c r="Y94" s="46"/>
      <c r="Z94" s="83"/>
    </row>
    <row r="95" spans="1:26" x14ac:dyDescent="0.3">
      <c r="A95" s="84"/>
      <c r="B95" s="46"/>
      <c r="C95" s="46"/>
      <c r="D95" s="46"/>
      <c r="E95" s="46"/>
      <c r="F95" s="46"/>
      <c r="G95" s="46"/>
      <c r="H95" s="83"/>
      <c r="J95" s="84"/>
      <c r="K95" s="46"/>
      <c r="L95" s="46"/>
      <c r="M95" s="46"/>
      <c r="N95" s="46"/>
      <c r="O95" s="46"/>
      <c r="P95" s="46"/>
      <c r="Q95" s="83"/>
      <c r="S95" s="84"/>
      <c r="T95" s="46"/>
      <c r="U95" s="46"/>
      <c r="V95" s="46"/>
      <c r="W95" s="46"/>
      <c r="X95" s="46"/>
      <c r="Y95" s="46"/>
      <c r="Z95" s="83"/>
    </row>
    <row r="96" spans="1:26" x14ac:dyDescent="0.3">
      <c r="A96" s="84"/>
      <c r="B96" s="46"/>
      <c r="C96" s="46"/>
      <c r="D96" s="46"/>
      <c r="E96" s="46"/>
      <c r="F96" s="46"/>
      <c r="G96" s="46"/>
      <c r="H96" s="83"/>
      <c r="J96" s="84"/>
      <c r="K96" s="46"/>
      <c r="L96" s="46"/>
      <c r="M96" s="46"/>
      <c r="N96" s="46"/>
      <c r="O96" s="46"/>
      <c r="P96" s="46"/>
      <c r="Q96" s="83"/>
      <c r="S96" s="84"/>
      <c r="T96" s="46"/>
      <c r="U96" s="46"/>
      <c r="V96" s="46"/>
      <c r="W96" s="46"/>
      <c r="X96" s="46"/>
      <c r="Y96" s="46"/>
      <c r="Z96" s="83"/>
    </row>
    <row r="97" spans="1:26" x14ac:dyDescent="0.3">
      <c r="A97" s="84"/>
      <c r="B97" s="46"/>
      <c r="C97" s="46"/>
      <c r="D97" s="46"/>
      <c r="E97" s="46"/>
      <c r="F97" s="46"/>
      <c r="G97" s="46"/>
      <c r="H97" s="83"/>
      <c r="J97" s="84"/>
      <c r="K97" s="46"/>
      <c r="L97" s="46"/>
      <c r="M97" s="46"/>
      <c r="N97" s="46"/>
      <c r="O97" s="46"/>
      <c r="P97" s="46"/>
      <c r="Q97" s="83"/>
      <c r="S97" s="84"/>
      <c r="T97" s="46"/>
      <c r="U97" s="46"/>
      <c r="V97" s="46"/>
      <c r="W97" s="46"/>
      <c r="X97" s="46"/>
      <c r="Y97" s="46"/>
      <c r="Z97" s="83"/>
    </row>
    <row r="98" spans="1:26" x14ac:dyDescent="0.3">
      <c r="A98" s="84"/>
      <c r="B98" s="46"/>
      <c r="C98" s="46"/>
      <c r="D98" s="46"/>
      <c r="E98" s="46"/>
      <c r="F98" s="46"/>
      <c r="G98" s="46"/>
      <c r="H98" s="83"/>
      <c r="J98" s="84"/>
      <c r="K98" s="46"/>
      <c r="L98" s="46"/>
      <c r="M98" s="46"/>
      <c r="N98" s="46"/>
      <c r="O98" s="46"/>
      <c r="P98" s="46"/>
      <c r="Q98" s="83"/>
      <c r="S98" s="84"/>
      <c r="T98" s="46"/>
      <c r="U98" s="46"/>
      <c r="V98" s="46"/>
      <c r="W98" s="46"/>
      <c r="X98" s="46"/>
      <c r="Y98" s="46"/>
      <c r="Z98" s="83"/>
    </row>
    <row r="99" spans="1:26" x14ac:dyDescent="0.3">
      <c r="A99" s="84"/>
      <c r="B99" s="46"/>
      <c r="C99" s="46"/>
      <c r="D99" s="46"/>
      <c r="E99" s="46"/>
      <c r="F99" s="46"/>
      <c r="G99" s="46"/>
      <c r="H99" s="83"/>
      <c r="J99" s="84"/>
      <c r="K99" s="46"/>
      <c r="L99" s="46"/>
      <c r="M99" s="46"/>
      <c r="N99" s="46"/>
      <c r="O99" s="46"/>
      <c r="P99" s="46"/>
      <c r="Q99" s="83"/>
      <c r="S99" s="84"/>
      <c r="T99" s="46"/>
      <c r="U99" s="46"/>
      <c r="V99" s="46"/>
      <c r="W99" s="46"/>
      <c r="X99" s="46"/>
      <c r="Y99" s="46"/>
      <c r="Z99" s="83"/>
    </row>
    <row r="100" spans="1:26" x14ac:dyDescent="0.3">
      <c r="A100" s="84"/>
      <c r="B100" s="46"/>
      <c r="C100" s="46"/>
      <c r="D100" s="46"/>
      <c r="E100" s="46"/>
      <c r="F100" s="46"/>
      <c r="G100" s="46"/>
      <c r="H100" s="83"/>
      <c r="J100" s="84"/>
      <c r="K100" s="46"/>
      <c r="L100" s="46"/>
      <c r="M100" s="46"/>
      <c r="N100" s="46"/>
      <c r="O100" s="46"/>
      <c r="P100" s="46"/>
      <c r="Q100" s="83"/>
      <c r="S100" s="84"/>
      <c r="T100" s="46"/>
      <c r="U100" s="46"/>
      <c r="V100" s="46"/>
      <c r="W100" s="46"/>
      <c r="X100" s="46"/>
      <c r="Y100" s="46"/>
      <c r="Z100" s="83"/>
    </row>
    <row r="101" spans="1:26" x14ac:dyDescent="0.3">
      <c r="A101" s="84"/>
      <c r="B101" s="46"/>
      <c r="C101" s="46"/>
      <c r="D101" s="46"/>
      <c r="E101" s="46"/>
      <c r="F101" s="46"/>
      <c r="G101" s="46"/>
      <c r="H101" s="83"/>
      <c r="J101" s="84"/>
      <c r="K101" s="46"/>
      <c r="L101" s="46"/>
      <c r="M101" s="46"/>
      <c r="N101" s="46"/>
      <c r="O101" s="46"/>
      <c r="P101" s="46"/>
      <c r="Q101" s="83"/>
      <c r="S101" s="84"/>
      <c r="T101" s="46"/>
      <c r="U101" s="46"/>
      <c r="V101" s="46"/>
      <c r="W101" s="46"/>
      <c r="X101" s="46"/>
      <c r="Y101" s="46"/>
      <c r="Z101" s="83"/>
    </row>
    <row r="102" spans="1:26" ht="15" thickBot="1" x14ac:dyDescent="0.35">
      <c r="A102" s="82"/>
      <c r="B102" s="81"/>
      <c r="C102" s="81"/>
      <c r="D102" s="81"/>
      <c r="E102" s="81"/>
      <c r="F102" s="81"/>
      <c r="G102" s="81"/>
      <c r="H102" s="80"/>
      <c r="J102" s="82"/>
      <c r="K102" s="81"/>
      <c r="L102" s="81"/>
      <c r="M102" s="81"/>
      <c r="N102" s="81"/>
      <c r="O102" s="81"/>
      <c r="P102" s="81"/>
      <c r="Q102" s="80"/>
      <c r="S102" s="82"/>
      <c r="T102" s="81"/>
      <c r="U102" s="81"/>
      <c r="V102" s="81"/>
      <c r="W102" s="81"/>
      <c r="X102" s="81"/>
      <c r="Y102" s="81"/>
      <c r="Z102" s="80"/>
    </row>
    <row r="103" spans="1:26" x14ac:dyDescent="0.3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</row>
    <row r="104" spans="1:26" x14ac:dyDescent="0.3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</row>
    <row r="139" spans="1:29" ht="23.4" x14ac:dyDescent="0.45">
      <c r="A139" s="89" t="s">
        <v>28</v>
      </c>
    </row>
    <row r="142" spans="1:29" ht="15" thickBot="1" x14ac:dyDescent="0.35"/>
    <row r="143" spans="1:29" x14ac:dyDescent="0.3">
      <c r="A143" s="125" t="s">
        <v>29</v>
      </c>
      <c r="B143" s="126" t="s">
        <v>342</v>
      </c>
      <c r="C143" s="127" t="s">
        <v>343</v>
      </c>
      <c r="D143" s="127" t="s">
        <v>344</v>
      </c>
      <c r="E143" s="127" t="s">
        <v>345</v>
      </c>
      <c r="F143" s="127" t="s">
        <v>7</v>
      </c>
      <c r="G143" s="127" t="s">
        <v>346</v>
      </c>
      <c r="H143" s="127" t="s">
        <v>347</v>
      </c>
      <c r="I143" s="126" t="s">
        <v>348</v>
      </c>
      <c r="J143" s="126" t="s">
        <v>349</v>
      </c>
      <c r="K143" s="126" t="s">
        <v>350</v>
      </c>
      <c r="L143" s="126" t="s">
        <v>351</v>
      </c>
      <c r="M143" s="127" t="s">
        <v>245</v>
      </c>
      <c r="N143" s="127" t="s">
        <v>352</v>
      </c>
      <c r="O143" s="128" t="s">
        <v>353</v>
      </c>
      <c r="P143" s="127" t="s">
        <v>354</v>
      </c>
      <c r="Q143" s="127" t="s">
        <v>355</v>
      </c>
      <c r="R143" s="126" t="s">
        <v>8</v>
      </c>
      <c r="S143" s="126" t="s">
        <v>356</v>
      </c>
      <c r="T143" s="126" t="s">
        <v>357</v>
      </c>
      <c r="U143" s="126" t="s">
        <v>358</v>
      </c>
      <c r="V143" s="126" t="s">
        <v>359</v>
      </c>
      <c r="W143" s="126" t="s">
        <v>360</v>
      </c>
      <c r="X143" s="126" t="s">
        <v>361</v>
      </c>
      <c r="Y143" s="126" t="s">
        <v>13</v>
      </c>
      <c r="Z143" s="129" t="s">
        <v>12</v>
      </c>
      <c r="AA143" s="129" t="s">
        <v>46</v>
      </c>
      <c r="AB143" s="129" t="s">
        <v>10</v>
      </c>
      <c r="AC143" s="130" t="s">
        <v>9</v>
      </c>
    </row>
    <row r="144" spans="1:29" x14ac:dyDescent="0.3">
      <c r="A144" s="131" t="s">
        <v>362</v>
      </c>
      <c r="B144" s="115">
        <v>2005</v>
      </c>
      <c r="C144" s="115">
        <v>2883</v>
      </c>
      <c r="D144" s="115"/>
      <c r="E144" s="115"/>
      <c r="F144" s="115">
        <v>18.8</v>
      </c>
      <c r="G144" s="115">
        <v>124.9</v>
      </c>
      <c r="H144" s="115">
        <v>114.95</v>
      </c>
      <c r="I144" s="115">
        <v>23.4</v>
      </c>
      <c r="J144" s="115">
        <v>5.3</v>
      </c>
      <c r="K144" s="115">
        <v>8.6</v>
      </c>
      <c r="L144" s="115">
        <f>SUM(K144-J144)</f>
        <v>3.3</v>
      </c>
      <c r="M144" s="115">
        <v>13906</v>
      </c>
      <c r="N144" s="115">
        <v>2</v>
      </c>
      <c r="O144" s="115" t="s">
        <v>363</v>
      </c>
      <c r="P144" s="115">
        <v>380</v>
      </c>
      <c r="Q144" s="115">
        <v>28</v>
      </c>
      <c r="R144" s="115">
        <v>400</v>
      </c>
      <c r="S144" s="115">
        <v>346</v>
      </c>
      <c r="T144" s="115">
        <v>95</v>
      </c>
      <c r="U144" s="115">
        <v>1224</v>
      </c>
      <c r="V144" s="115">
        <f>2*4320</f>
        <v>8640</v>
      </c>
      <c r="W144" s="115">
        <v>600</v>
      </c>
      <c r="X144" s="115"/>
      <c r="Y144" s="115">
        <f>CONVERT(F144,"kn","m/sec")/SQRT(9.81*H144)</f>
        <v>0.2880098489190277</v>
      </c>
      <c r="Z144" s="115">
        <f>H144/(AA144*H144*I144*J144)^(1/3)</f>
        <v>5.7183265770812381</v>
      </c>
      <c r="AA144" s="115">
        <f>0.27/(Y144^(3/5))</f>
        <v>0.56979595330149879</v>
      </c>
      <c r="AB144" s="115">
        <f>I144/J144</f>
        <v>4.415094339622641</v>
      </c>
      <c r="AC144" s="132">
        <f>H144/I144</f>
        <v>4.9123931623931627</v>
      </c>
    </row>
    <row r="145" spans="1:29" x14ac:dyDescent="0.3">
      <c r="A145" s="131" t="s">
        <v>364</v>
      </c>
      <c r="B145" s="116">
        <v>2005</v>
      </c>
      <c r="C145" s="116">
        <v>3009</v>
      </c>
      <c r="D145" s="116">
        <v>7142</v>
      </c>
      <c r="E145" s="117">
        <v>11138</v>
      </c>
      <c r="F145" s="117">
        <v>19.350000000000001</v>
      </c>
      <c r="G145" s="115">
        <v>137.30000000000001</v>
      </c>
      <c r="H145" s="117">
        <v>127.5</v>
      </c>
      <c r="I145" s="115">
        <v>23.4</v>
      </c>
      <c r="J145" s="115">
        <v>5.4</v>
      </c>
      <c r="K145" s="115">
        <v>8.6</v>
      </c>
      <c r="L145" s="115">
        <f t="shared" ref="L145:L197" si="0">SUM(K145-J145)</f>
        <v>3.1999999999999993</v>
      </c>
      <c r="M145" s="115">
        <v>16324</v>
      </c>
      <c r="N145" s="115" t="s">
        <v>365</v>
      </c>
      <c r="O145" s="115" t="s">
        <v>366</v>
      </c>
      <c r="P145" s="115">
        <v>193</v>
      </c>
      <c r="Q145" s="115" t="s">
        <v>367</v>
      </c>
      <c r="R145" s="115">
        <v>568</v>
      </c>
      <c r="S145" s="115">
        <v>475</v>
      </c>
      <c r="T145" s="115">
        <v>164</v>
      </c>
      <c r="U145" s="115">
        <v>444</v>
      </c>
      <c r="V145" s="115">
        <f>2*5800</f>
        <v>11600</v>
      </c>
      <c r="W145" s="115">
        <v>600</v>
      </c>
      <c r="X145" s="115">
        <v>43</v>
      </c>
      <c r="Y145" s="115">
        <f t="shared" ref="Y145:Y208" si="1">CONVERT(F145,"kn","m/sec")/SQRT(9.81*H145)</f>
        <v>0.28146853640694552</v>
      </c>
      <c r="Z145" s="115">
        <f t="shared" ref="Z145:Z208" si="2">H145/(AA145*H145*I145*J145)^(1/3)</f>
        <v>6.0613351806064646</v>
      </c>
      <c r="AA145" s="115">
        <f t="shared" ref="AA145:AA208" si="3">0.27/(Y145^(3/5))</f>
        <v>0.57770463405141348</v>
      </c>
      <c r="AB145" s="115">
        <f t="shared" ref="AB145:AB208" si="4">I145/J145</f>
        <v>4.333333333333333</v>
      </c>
      <c r="AC145" s="132">
        <f t="shared" ref="AC145:AC208" si="5">H145/I145</f>
        <v>5.4487179487179489</v>
      </c>
    </row>
    <row r="146" spans="1:29" x14ac:dyDescent="0.3">
      <c r="A146" s="131" t="s">
        <v>368</v>
      </c>
      <c r="B146" s="115">
        <v>2005</v>
      </c>
      <c r="C146" s="115">
        <v>2652</v>
      </c>
      <c r="D146" s="116">
        <v>5769</v>
      </c>
      <c r="E146" s="115">
        <v>8882</v>
      </c>
      <c r="F146" s="115">
        <v>21.55</v>
      </c>
      <c r="G146" s="115">
        <v>138</v>
      </c>
      <c r="H146" s="115">
        <v>123</v>
      </c>
      <c r="I146" s="115">
        <v>22.7</v>
      </c>
      <c r="J146" s="115">
        <v>5.6</v>
      </c>
      <c r="K146" s="115">
        <v>8.1</v>
      </c>
      <c r="L146" s="115">
        <f t="shared" si="0"/>
        <v>2.5</v>
      </c>
      <c r="M146" s="115">
        <v>12650</v>
      </c>
      <c r="N146" s="115" t="s">
        <v>369</v>
      </c>
      <c r="O146" s="115">
        <v>970</v>
      </c>
      <c r="P146" s="115">
        <v>200</v>
      </c>
      <c r="Q146" s="115" t="s">
        <v>370</v>
      </c>
      <c r="R146" s="115">
        <v>976</v>
      </c>
      <c r="S146" s="115">
        <v>752</v>
      </c>
      <c r="T146" s="115">
        <v>138</v>
      </c>
      <c r="U146" s="115">
        <v>1560</v>
      </c>
      <c r="V146" s="115">
        <f>4*3360</f>
        <v>13440</v>
      </c>
      <c r="W146" s="115">
        <v>750</v>
      </c>
      <c r="X146" s="115">
        <v>52.7</v>
      </c>
      <c r="Y146" s="115">
        <f t="shared" si="1"/>
        <v>0.31915282771883757</v>
      </c>
      <c r="Z146" s="115">
        <f t="shared" si="2"/>
        <v>6.0563448703477389</v>
      </c>
      <c r="AA146" s="115">
        <f t="shared" si="3"/>
        <v>0.53575291927894453</v>
      </c>
      <c r="AB146" s="115">
        <f t="shared" si="4"/>
        <v>4.0535714285714288</v>
      </c>
      <c r="AC146" s="132">
        <f t="shared" si="5"/>
        <v>5.4185022026431717</v>
      </c>
    </row>
    <row r="147" spans="1:29" x14ac:dyDescent="0.3">
      <c r="A147" s="131" t="s">
        <v>371</v>
      </c>
      <c r="B147" s="115">
        <v>2006</v>
      </c>
      <c r="C147" s="115">
        <v>3600</v>
      </c>
      <c r="D147" s="117"/>
      <c r="E147" s="115"/>
      <c r="F147" s="117">
        <v>22</v>
      </c>
      <c r="G147" s="115">
        <v>142.44999999999999</v>
      </c>
      <c r="H147" s="115">
        <v>125</v>
      </c>
      <c r="I147" s="115">
        <v>24.3</v>
      </c>
      <c r="J147" s="115">
        <v>5.7</v>
      </c>
      <c r="K147" s="115">
        <v>8.35</v>
      </c>
      <c r="L147" s="115">
        <f t="shared" si="0"/>
        <v>2.6499999999999995</v>
      </c>
      <c r="M147" s="115">
        <v>18425</v>
      </c>
      <c r="N147" s="115" t="s">
        <v>365</v>
      </c>
      <c r="O147" s="115" t="s">
        <v>372</v>
      </c>
      <c r="P147" s="115">
        <v>224</v>
      </c>
      <c r="Q147" s="115" t="s">
        <v>373</v>
      </c>
      <c r="R147" s="115">
        <v>600</v>
      </c>
      <c r="S147" s="115">
        <v>697</v>
      </c>
      <c r="T147" s="115">
        <v>92</v>
      </c>
      <c r="U147" s="115">
        <v>1545</v>
      </c>
      <c r="V147" s="115">
        <f>2*9450</f>
        <v>18900</v>
      </c>
      <c r="W147" s="115">
        <v>500</v>
      </c>
      <c r="X147" s="115">
        <v>69</v>
      </c>
      <c r="Y147" s="115">
        <f t="shared" si="1"/>
        <v>0.32320022333633508</v>
      </c>
      <c r="Z147" s="115">
        <f t="shared" si="2"/>
        <v>5.9642069979336307</v>
      </c>
      <c r="AA147" s="115">
        <f t="shared" si="3"/>
        <v>0.53171727802100077</v>
      </c>
      <c r="AB147" s="115">
        <f t="shared" si="4"/>
        <v>4.2631578947368425</v>
      </c>
      <c r="AC147" s="132">
        <f t="shared" si="5"/>
        <v>5.144032921810699</v>
      </c>
    </row>
    <row r="148" spans="1:29" x14ac:dyDescent="0.3">
      <c r="A148" s="131" t="s">
        <v>374</v>
      </c>
      <c r="B148" s="115">
        <v>2000</v>
      </c>
      <c r="C148" s="115">
        <v>1858</v>
      </c>
      <c r="D148" s="117">
        <v>4358</v>
      </c>
      <c r="E148" s="115">
        <v>6584</v>
      </c>
      <c r="F148" s="115">
        <v>24.1</v>
      </c>
      <c r="G148" s="115">
        <v>123.8</v>
      </c>
      <c r="H148" s="115">
        <v>111.8</v>
      </c>
      <c r="I148" s="115">
        <v>18.899999999999999</v>
      </c>
      <c r="J148" s="115">
        <v>4.9000000000000004</v>
      </c>
      <c r="K148" s="115">
        <v>7.25</v>
      </c>
      <c r="L148" s="115">
        <f t="shared" si="0"/>
        <v>2.3499999999999996</v>
      </c>
      <c r="M148" s="115">
        <v>10193</v>
      </c>
      <c r="N148" s="115">
        <v>2</v>
      </c>
      <c r="O148" s="115" t="s">
        <v>375</v>
      </c>
      <c r="P148" s="115">
        <v>94</v>
      </c>
      <c r="Q148" s="115" t="s">
        <v>376</v>
      </c>
      <c r="R148" s="115">
        <v>1500</v>
      </c>
      <c r="S148" s="115">
        <v>483</v>
      </c>
      <c r="T148" s="115">
        <v>62</v>
      </c>
      <c r="U148" s="115">
        <v>738</v>
      </c>
      <c r="V148" s="115">
        <f>4*4140</f>
        <v>16560</v>
      </c>
      <c r="W148" s="115">
        <v>750</v>
      </c>
      <c r="X148" s="115"/>
      <c r="Y148" s="115">
        <f t="shared" si="1"/>
        <v>0.37436920630037529</v>
      </c>
      <c r="Z148" s="115">
        <f t="shared" si="2"/>
        <v>6.5204966579506696</v>
      </c>
      <c r="AA148" s="115">
        <f t="shared" si="3"/>
        <v>0.48683712936924617</v>
      </c>
      <c r="AB148" s="115">
        <f t="shared" si="4"/>
        <v>3.8571428571428568</v>
      </c>
      <c r="AC148" s="132">
        <f t="shared" si="5"/>
        <v>5.9153439153439153</v>
      </c>
    </row>
    <row r="149" spans="1:29" ht="15" x14ac:dyDescent="0.35">
      <c r="A149" s="131" t="s">
        <v>377</v>
      </c>
      <c r="B149" s="115">
        <v>2007</v>
      </c>
      <c r="C149" s="115"/>
      <c r="D149" s="115">
        <v>7683</v>
      </c>
      <c r="E149" s="115">
        <v>9953</v>
      </c>
      <c r="F149" s="115">
        <v>21</v>
      </c>
      <c r="G149" s="115">
        <v>160</v>
      </c>
      <c r="H149" s="115">
        <v>154</v>
      </c>
      <c r="I149" s="115">
        <v>27.6</v>
      </c>
      <c r="J149" s="115">
        <v>5.75</v>
      </c>
      <c r="K149" s="115">
        <v>8.09</v>
      </c>
      <c r="L149" s="120">
        <f t="shared" si="0"/>
        <v>2.34</v>
      </c>
      <c r="M149" s="115">
        <v>21777</v>
      </c>
      <c r="N149" s="115">
        <v>2</v>
      </c>
      <c r="O149" s="115" t="s">
        <v>378</v>
      </c>
      <c r="P149" s="115">
        <v>370</v>
      </c>
      <c r="Q149" s="115" t="s">
        <v>379</v>
      </c>
      <c r="R149" s="115">
        <v>1650</v>
      </c>
      <c r="S149" s="115"/>
      <c r="T149" s="115">
        <v>300</v>
      </c>
      <c r="U149" s="115"/>
      <c r="V149" s="115">
        <f>4*4000</f>
        <v>16000</v>
      </c>
      <c r="W149" s="115"/>
      <c r="X149" s="115">
        <v>57.8</v>
      </c>
      <c r="Y149" s="115">
        <f t="shared" si="1"/>
        <v>0.27794758964821775</v>
      </c>
      <c r="Z149" s="115">
        <f t="shared" si="2"/>
        <v>6.3556430688192664</v>
      </c>
      <c r="AA149" s="115">
        <f t="shared" si="3"/>
        <v>0.58208447584842171</v>
      </c>
      <c r="AB149" s="115">
        <f t="shared" si="4"/>
        <v>4.8</v>
      </c>
      <c r="AC149" s="132">
        <f t="shared" si="5"/>
        <v>5.5797101449275361</v>
      </c>
    </row>
    <row r="150" spans="1:29" x14ac:dyDescent="0.3">
      <c r="A150" s="131" t="s">
        <v>380</v>
      </c>
      <c r="B150" s="115">
        <v>2001</v>
      </c>
      <c r="C150" s="115">
        <v>670</v>
      </c>
      <c r="D150" s="115">
        <v>2823</v>
      </c>
      <c r="E150" s="115">
        <v>3493</v>
      </c>
      <c r="F150" s="115">
        <v>16.8</v>
      </c>
      <c r="G150" s="115">
        <v>99.4</v>
      </c>
      <c r="H150" s="115">
        <v>91.2</v>
      </c>
      <c r="I150" s="115">
        <v>15.8</v>
      </c>
      <c r="J150" s="115">
        <v>3.2</v>
      </c>
      <c r="K150" s="115">
        <v>5.5</v>
      </c>
      <c r="L150" s="115">
        <f t="shared" si="0"/>
        <v>2.2999999999999998</v>
      </c>
      <c r="M150" s="115">
        <v>5506</v>
      </c>
      <c r="N150" s="115" t="s">
        <v>381</v>
      </c>
      <c r="O150" s="115" t="s">
        <v>382</v>
      </c>
      <c r="P150" s="115">
        <v>108</v>
      </c>
      <c r="Q150" s="115" t="s">
        <v>383</v>
      </c>
      <c r="R150" s="115">
        <v>612</v>
      </c>
      <c r="S150" s="115"/>
      <c r="T150" s="115">
        <v>100</v>
      </c>
      <c r="U150" s="115">
        <v>730</v>
      </c>
      <c r="V150" s="115">
        <f>2*3840</f>
        <v>7680</v>
      </c>
      <c r="W150" s="115">
        <v>600</v>
      </c>
      <c r="X150" s="115">
        <v>15</v>
      </c>
      <c r="Y150" s="115">
        <f t="shared" si="1"/>
        <v>0.28894543695517133</v>
      </c>
      <c r="Z150" s="115">
        <f t="shared" si="2"/>
        <v>6.6135724754492875</v>
      </c>
      <c r="AA150" s="115">
        <f t="shared" si="3"/>
        <v>0.56868825622752051</v>
      </c>
      <c r="AB150" s="115">
        <f t="shared" si="4"/>
        <v>4.9375</v>
      </c>
      <c r="AC150" s="132">
        <f t="shared" si="5"/>
        <v>5.7721518987341769</v>
      </c>
    </row>
    <row r="151" spans="1:29" x14ac:dyDescent="0.3">
      <c r="A151" s="131" t="s">
        <v>384</v>
      </c>
      <c r="B151" s="115">
        <v>2001</v>
      </c>
      <c r="C151" s="115">
        <v>9665</v>
      </c>
      <c r="D151" s="115"/>
      <c r="E151" s="115">
        <v>27425</v>
      </c>
      <c r="F151" s="115">
        <v>22</v>
      </c>
      <c r="G151" s="115">
        <v>209.8</v>
      </c>
      <c r="H151" s="115">
        <v>192.4</v>
      </c>
      <c r="I151" s="115">
        <v>31.2</v>
      </c>
      <c r="J151" s="115">
        <v>6.4</v>
      </c>
      <c r="K151" s="115">
        <v>9.9</v>
      </c>
      <c r="L151" s="115">
        <f t="shared" si="0"/>
        <v>3.5</v>
      </c>
      <c r="M151" s="115">
        <v>50938</v>
      </c>
      <c r="N151" s="115" t="s">
        <v>385</v>
      </c>
      <c r="O151" s="115" t="s">
        <v>386</v>
      </c>
      <c r="P151" s="115">
        <v>1340</v>
      </c>
      <c r="Q151" s="115" t="s">
        <v>387</v>
      </c>
      <c r="R151" s="115">
        <v>1944</v>
      </c>
      <c r="S151" s="115">
        <v>1178</v>
      </c>
      <c r="T151" s="115">
        <v>137</v>
      </c>
      <c r="U151" s="115">
        <v>4448</v>
      </c>
      <c r="V151" s="115">
        <f>4*7800</f>
        <v>31200</v>
      </c>
      <c r="W151" s="115">
        <v>500</v>
      </c>
      <c r="X151" s="115"/>
      <c r="Y151" s="115">
        <f t="shared" si="1"/>
        <v>0.26050983562485208</v>
      </c>
      <c r="Z151" s="115">
        <f t="shared" si="2"/>
        <v>6.7411722765039581</v>
      </c>
      <c r="AA151" s="115">
        <f t="shared" si="3"/>
        <v>0.60515871112692077</v>
      </c>
      <c r="AB151" s="115">
        <f t="shared" si="4"/>
        <v>4.875</v>
      </c>
      <c r="AC151" s="132">
        <f t="shared" si="5"/>
        <v>6.166666666666667</v>
      </c>
    </row>
    <row r="152" spans="1:29" x14ac:dyDescent="0.3">
      <c r="A152" s="131" t="s">
        <v>388</v>
      </c>
      <c r="B152" s="115">
        <v>2002</v>
      </c>
      <c r="C152" s="117">
        <v>3400</v>
      </c>
      <c r="D152" s="117">
        <v>16700</v>
      </c>
      <c r="E152" s="117">
        <v>201000</v>
      </c>
      <c r="F152" s="117">
        <v>24.8</v>
      </c>
      <c r="G152" s="115">
        <v>176</v>
      </c>
      <c r="H152" s="115">
        <v>161.6</v>
      </c>
      <c r="I152" s="117">
        <v>30.4</v>
      </c>
      <c r="J152" s="115">
        <v>6.62</v>
      </c>
      <c r="K152" s="115">
        <v>9.4</v>
      </c>
      <c r="L152" s="117">
        <f t="shared" si="0"/>
        <v>2.7800000000000002</v>
      </c>
      <c r="M152" s="117">
        <v>44500</v>
      </c>
      <c r="N152" s="115" t="s">
        <v>369</v>
      </c>
      <c r="O152" s="115" t="s">
        <v>389</v>
      </c>
      <c r="P152" s="115">
        <v>700</v>
      </c>
      <c r="Q152" s="115" t="s">
        <v>390</v>
      </c>
      <c r="R152" s="115">
        <v>2453</v>
      </c>
      <c r="S152" s="115">
        <v>1200</v>
      </c>
      <c r="T152" s="115">
        <v>350</v>
      </c>
      <c r="U152" s="115">
        <v>2000</v>
      </c>
      <c r="V152" s="115">
        <f>4*9450</f>
        <v>37800</v>
      </c>
      <c r="W152" s="115">
        <v>500</v>
      </c>
      <c r="X152" s="115">
        <v>150</v>
      </c>
      <c r="Y152" s="115">
        <f t="shared" si="1"/>
        <v>0.32043133597579765</v>
      </c>
      <c r="Z152" s="115">
        <f t="shared" si="2"/>
        <v>6.2384417070011038</v>
      </c>
      <c r="AA152" s="115">
        <f t="shared" si="3"/>
        <v>0.53446931420580612</v>
      </c>
      <c r="AB152" s="115">
        <f t="shared" si="4"/>
        <v>4.5921450151057401</v>
      </c>
      <c r="AC152" s="132">
        <f t="shared" si="5"/>
        <v>5.3157894736842106</v>
      </c>
    </row>
    <row r="153" spans="1:29" x14ac:dyDescent="0.3">
      <c r="A153" s="131" t="s">
        <v>391</v>
      </c>
      <c r="B153" s="115">
        <v>2003</v>
      </c>
      <c r="C153" s="117">
        <v>1250</v>
      </c>
      <c r="D153" s="117">
        <v>4577</v>
      </c>
      <c r="E153" s="117">
        <v>5827</v>
      </c>
      <c r="F153" s="117">
        <v>21</v>
      </c>
      <c r="G153" s="115">
        <v>112</v>
      </c>
      <c r="H153" s="115">
        <v>98.2</v>
      </c>
      <c r="I153" s="115">
        <v>20</v>
      </c>
      <c r="J153" s="115">
        <v>4.5</v>
      </c>
      <c r="K153" s="115">
        <v>7</v>
      </c>
      <c r="L153" s="117">
        <f t="shared" si="0"/>
        <v>2.5</v>
      </c>
      <c r="M153" s="117">
        <v>8077</v>
      </c>
      <c r="N153" s="115" t="s">
        <v>369</v>
      </c>
      <c r="O153" s="115" t="s">
        <v>392</v>
      </c>
      <c r="P153" s="115">
        <v>145</v>
      </c>
      <c r="Q153" s="115"/>
      <c r="R153" s="115"/>
      <c r="S153" s="115"/>
      <c r="T153" s="115">
        <v>277</v>
      </c>
      <c r="U153" s="115">
        <v>1328</v>
      </c>
      <c r="V153" s="115">
        <v>16000</v>
      </c>
      <c r="W153" s="115">
        <v>750</v>
      </c>
      <c r="X153" s="115"/>
      <c r="Y153" s="115">
        <f t="shared" si="1"/>
        <v>0.3480707497528841</v>
      </c>
      <c r="Z153" s="115">
        <f t="shared" si="2"/>
        <v>5.9503028867303982</v>
      </c>
      <c r="AA153" s="115">
        <f t="shared" si="3"/>
        <v>0.50858464844608142</v>
      </c>
      <c r="AB153" s="115">
        <f t="shared" si="4"/>
        <v>4.4444444444444446</v>
      </c>
      <c r="AC153" s="132">
        <f t="shared" si="5"/>
        <v>4.91</v>
      </c>
    </row>
    <row r="154" spans="1:29" x14ac:dyDescent="0.3">
      <c r="A154" s="133" t="s">
        <v>393</v>
      </c>
      <c r="B154" s="115">
        <v>2003</v>
      </c>
      <c r="C154" s="117">
        <v>5230</v>
      </c>
      <c r="D154" s="117">
        <v>12382</v>
      </c>
      <c r="E154" s="115">
        <v>18732</v>
      </c>
      <c r="F154" s="115">
        <v>20.8</v>
      </c>
      <c r="G154" s="115">
        <v>165.74</v>
      </c>
      <c r="H154" s="115">
        <v>152.43</v>
      </c>
      <c r="I154" s="115">
        <v>30</v>
      </c>
      <c r="J154" s="115">
        <v>6.3</v>
      </c>
      <c r="K154" s="115">
        <v>9.1</v>
      </c>
      <c r="L154" s="115">
        <f t="shared" si="0"/>
        <v>2.8</v>
      </c>
      <c r="M154" s="115">
        <v>35966</v>
      </c>
      <c r="N154" s="115" t="s">
        <v>365</v>
      </c>
      <c r="O154" s="115" t="s">
        <v>394</v>
      </c>
      <c r="P154" s="115">
        <v>634</v>
      </c>
      <c r="Q154" s="115" t="s">
        <v>395</v>
      </c>
      <c r="R154" s="115">
        <v>1482</v>
      </c>
      <c r="S154" s="115">
        <v>1300</v>
      </c>
      <c r="T154" s="115">
        <v>145</v>
      </c>
      <c r="U154" s="115">
        <v>1650</v>
      </c>
      <c r="V154" s="115">
        <f>4*5400</f>
        <v>21600</v>
      </c>
      <c r="W154" s="115">
        <v>500</v>
      </c>
      <c r="X154" s="115">
        <v>77</v>
      </c>
      <c r="Y154" s="115">
        <f t="shared" si="1"/>
        <v>0.27671460896494698</v>
      </c>
      <c r="Z154" s="115">
        <f t="shared" si="2"/>
        <v>5.9499255003680878</v>
      </c>
      <c r="AA154" s="115">
        <f t="shared" si="3"/>
        <v>0.58363927773213942</v>
      </c>
      <c r="AB154" s="115">
        <f t="shared" si="4"/>
        <v>4.7619047619047619</v>
      </c>
      <c r="AC154" s="134">
        <f t="shared" si="5"/>
        <v>5.0810000000000004</v>
      </c>
    </row>
    <row r="155" spans="1:29" x14ac:dyDescent="0.3">
      <c r="A155" s="133" t="s">
        <v>396</v>
      </c>
      <c r="B155" s="115">
        <v>2001</v>
      </c>
      <c r="C155" s="117">
        <v>7100</v>
      </c>
      <c r="D155" s="117"/>
      <c r="E155" s="117">
        <v>16772</v>
      </c>
      <c r="F155" s="117">
        <v>22.5</v>
      </c>
      <c r="G155" s="115">
        <v>199.4</v>
      </c>
      <c r="H155" s="117">
        <v>179.2</v>
      </c>
      <c r="I155" s="117">
        <v>23.4</v>
      </c>
      <c r="J155" s="115">
        <v>6.08</v>
      </c>
      <c r="K155" s="115">
        <v>8.1999999999999993</v>
      </c>
      <c r="L155" s="117">
        <f t="shared" si="0"/>
        <v>2.1199999999999992</v>
      </c>
      <c r="M155" s="117">
        <v>18450</v>
      </c>
      <c r="N155" s="115">
        <v>0</v>
      </c>
      <c r="O155" s="115" t="s">
        <v>397</v>
      </c>
      <c r="P155" s="115"/>
      <c r="Q155" s="115" t="s">
        <v>398</v>
      </c>
      <c r="R155" s="115">
        <v>308</v>
      </c>
      <c r="S155" s="115">
        <v>1150</v>
      </c>
      <c r="T155" s="115">
        <v>80</v>
      </c>
      <c r="U155" s="115">
        <v>5000</v>
      </c>
      <c r="V155" s="115">
        <f>2*9450</f>
        <v>18900</v>
      </c>
      <c r="W155" s="115">
        <v>500</v>
      </c>
      <c r="X155" s="115">
        <v>72</v>
      </c>
      <c r="Y155" s="115">
        <f t="shared" si="1"/>
        <v>0.27606890542513374</v>
      </c>
      <c r="Z155" s="115">
        <f t="shared" si="2"/>
        <v>7.2822866281025824</v>
      </c>
      <c r="AA155" s="115">
        <f t="shared" si="3"/>
        <v>0.58445794693560849</v>
      </c>
      <c r="AB155" s="115">
        <f t="shared" si="4"/>
        <v>3.8486842105263155</v>
      </c>
      <c r="AC155" s="134">
        <f t="shared" si="5"/>
        <v>7.6581196581196584</v>
      </c>
    </row>
    <row r="156" spans="1:29" x14ac:dyDescent="0.3">
      <c r="A156" s="133" t="s">
        <v>399</v>
      </c>
      <c r="B156" s="117">
        <v>2001</v>
      </c>
      <c r="C156" s="117">
        <v>3500</v>
      </c>
      <c r="D156" s="115"/>
      <c r="E156" s="117">
        <v>14500</v>
      </c>
      <c r="F156" s="117">
        <v>29</v>
      </c>
      <c r="G156" s="115">
        <v>176.01</v>
      </c>
      <c r="H156" s="117">
        <v>159.69999999999999</v>
      </c>
      <c r="I156" s="117">
        <v>24.8</v>
      </c>
      <c r="J156" s="115">
        <v>6.3</v>
      </c>
      <c r="K156" s="115">
        <v>9.3000000000000007</v>
      </c>
      <c r="L156" s="117">
        <f t="shared" si="0"/>
        <v>3.0000000000000009</v>
      </c>
      <c r="M156" s="117">
        <v>23700</v>
      </c>
      <c r="N156" s="115" t="s">
        <v>400</v>
      </c>
      <c r="O156" s="115" t="s">
        <v>401</v>
      </c>
      <c r="P156" s="115">
        <v>550</v>
      </c>
      <c r="Q156" s="115">
        <v>104</v>
      </c>
      <c r="R156" s="115">
        <v>1860</v>
      </c>
      <c r="S156" s="115">
        <v>1270</v>
      </c>
      <c r="T156" s="115">
        <v>131</v>
      </c>
      <c r="U156" s="115">
        <v>988</v>
      </c>
      <c r="V156" s="115">
        <f>4*11700</f>
        <v>46800</v>
      </c>
      <c r="W156" s="115">
        <v>514</v>
      </c>
      <c r="X156" s="115"/>
      <c r="Y156" s="115">
        <f t="shared" si="1"/>
        <v>0.37692029097966101</v>
      </c>
      <c r="Z156" s="115">
        <f t="shared" si="2"/>
        <v>6.9566664820920172</v>
      </c>
      <c r="AA156" s="115">
        <f t="shared" si="3"/>
        <v>0.48485742817138805</v>
      </c>
      <c r="AB156" s="115">
        <f t="shared" si="4"/>
        <v>3.9365079365079367</v>
      </c>
      <c r="AC156" s="134">
        <f t="shared" si="5"/>
        <v>6.4395161290322571</v>
      </c>
    </row>
    <row r="157" spans="1:29" x14ac:dyDescent="0.3">
      <c r="A157" s="133" t="s">
        <v>402</v>
      </c>
      <c r="B157" s="117">
        <v>2000</v>
      </c>
      <c r="C157" s="117">
        <v>4563</v>
      </c>
      <c r="D157" s="117"/>
      <c r="E157" s="117"/>
      <c r="F157" s="117">
        <v>27</v>
      </c>
      <c r="G157" s="115">
        <v>176.1</v>
      </c>
      <c r="H157" s="117">
        <v>160.47999999999999</v>
      </c>
      <c r="I157" s="117">
        <v>25.7</v>
      </c>
      <c r="J157" s="115">
        <v>6.35</v>
      </c>
      <c r="K157" s="115">
        <v>9.4</v>
      </c>
      <c r="L157" s="117">
        <f t="shared" si="0"/>
        <v>3.0500000000000007</v>
      </c>
      <c r="M157" s="117">
        <v>29415</v>
      </c>
      <c r="N157" s="115">
        <v>4</v>
      </c>
      <c r="O157" s="115" t="s">
        <v>403</v>
      </c>
      <c r="P157" s="115">
        <v>641</v>
      </c>
      <c r="Q157" s="115" t="s">
        <v>404</v>
      </c>
      <c r="R157" s="115">
        <v>1600</v>
      </c>
      <c r="S157" s="115">
        <v>880</v>
      </c>
      <c r="T157" s="115">
        <v>180</v>
      </c>
      <c r="U157" s="115">
        <v>515</v>
      </c>
      <c r="V157" s="115">
        <f>4*11120</f>
        <v>44480</v>
      </c>
      <c r="W157" s="115">
        <v>428</v>
      </c>
      <c r="X157" s="115"/>
      <c r="Y157" s="115">
        <f t="shared" si="1"/>
        <v>0.35007192621885042</v>
      </c>
      <c r="Z157" s="115">
        <f t="shared" si="2"/>
        <v>6.7777965699076503</v>
      </c>
      <c r="AA157" s="115">
        <f t="shared" si="3"/>
        <v>0.50683826273041099</v>
      </c>
      <c r="AB157" s="115">
        <f t="shared" si="4"/>
        <v>4.0472440944881889</v>
      </c>
      <c r="AC157" s="134">
        <f t="shared" si="5"/>
        <v>6.2443579766536965</v>
      </c>
    </row>
    <row r="158" spans="1:29" x14ac:dyDescent="0.3">
      <c r="A158" s="131" t="s">
        <v>405</v>
      </c>
      <c r="B158" s="115">
        <v>2001</v>
      </c>
      <c r="C158" s="115">
        <v>6300</v>
      </c>
      <c r="D158" s="115"/>
      <c r="E158" s="115"/>
      <c r="F158" s="115">
        <v>29.5</v>
      </c>
      <c r="G158" s="115">
        <v>214</v>
      </c>
      <c r="H158" s="115">
        <v>191.22</v>
      </c>
      <c r="I158" s="115">
        <v>26.4</v>
      </c>
      <c r="J158" s="115">
        <v>7.1</v>
      </c>
      <c r="K158" s="115">
        <v>10</v>
      </c>
      <c r="L158" s="115">
        <f t="shared" si="0"/>
        <v>2.9000000000000004</v>
      </c>
      <c r="M158" s="115">
        <v>37150</v>
      </c>
      <c r="N158" s="115">
        <v>4</v>
      </c>
      <c r="O158" s="115" t="s">
        <v>406</v>
      </c>
      <c r="P158" s="115">
        <v>110</v>
      </c>
      <c r="Q158" s="115" t="s">
        <v>407</v>
      </c>
      <c r="R158" s="115">
        <v>1880</v>
      </c>
      <c r="S158" s="115">
        <v>1000</v>
      </c>
      <c r="T158" s="115">
        <v>80</v>
      </c>
      <c r="U158" s="115">
        <v>3000</v>
      </c>
      <c r="V158" s="115">
        <f>4*16800</f>
        <v>67200</v>
      </c>
      <c r="W158" s="115">
        <v>500</v>
      </c>
      <c r="X158" s="115"/>
      <c r="Y158" s="115">
        <f t="shared" si="1"/>
        <v>0.35039615908002475</v>
      </c>
      <c r="Z158" s="115">
        <f t="shared" si="2"/>
        <v>7.275431063844831</v>
      </c>
      <c r="AA158" s="115">
        <f t="shared" si="3"/>
        <v>0.50655681436130451</v>
      </c>
      <c r="AB158" s="115">
        <f t="shared" si="4"/>
        <v>3.7183098591549295</v>
      </c>
      <c r="AC158" s="132">
        <f t="shared" si="5"/>
        <v>7.2431818181818182</v>
      </c>
    </row>
    <row r="159" spans="1:29" x14ac:dyDescent="0.3">
      <c r="A159" s="131" t="s">
        <v>408</v>
      </c>
      <c r="B159" s="115">
        <v>2001</v>
      </c>
      <c r="C159" s="115">
        <v>9268</v>
      </c>
      <c r="D159" s="115"/>
      <c r="E159" s="115"/>
      <c r="F159" s="115">
        <v>22</v>
      </c>
      <c r="G159" s="115">
        <v>215</v>
      </c>
      <c r="H159" s="115">
        <v>203.7</v>
      </c>
      <c r="I159" s="115">
        <v>31.5</v>
      </c>
      <c r="J159" s="115">
        <v>6.05</v>
      </c>
      <c r="K159" s="115">
        <v>9.4</v>
      </c>
      <c r="L159" s="115">
        <f t="shared" si="0"/>
        <v>3.3500000000000005</v>
      </c>
      <c r="M159" s="115">
        <v>59925</v>
      </c>
      <c r="N159" s="115">
        <v>4</v>
      </c>
      <c r="O159" s="115" t="s">
        <v>409</v>
      </c>
      <c r="P159" s="115">
        <v>250</v>
      </c>
      <c r="Q159" s="115" t="s">
        <v>410</v>
      </c>
      <c r="R159" s="115">
        <v>1360</v>
      </c>
      <c r="S159" s="115">
        <v>1102</v>
      </c>
      <c r="T159" s="115">
        <v>182</v>
      </c>
      <c r="U159" s="115">
        <v>3907</v>
      </c>
      <c r="V159" s="115">
        <f>4*9450</f>
        <v>37800</v>
      </c>
      <c r="W159" s="115">
        <v>500</v>
      </c>
      <c r="X159" s="115"/>
      <c r="Y159" s="115">
        <f t="shared" si="1"/>
        <v>0.25318101942845589</v>
      </c>
      <c r="Z159" s="115">
        <f t="shared" si="2"/>
        <v>7.0719147593357938</v>
      </c>
      <c r="AA159" s="115">
        <f t="shared" si="3"/>
        <v>0.61560916610878025</v>
      </c>
      <c r="AB159" s="115">
        <f t="shared" si="4"/>
        <v>5.2066115702479339</v>
      </c>
      <c r="AC159" s="132">
        <f t="shared" si="5"/>
        <v>6.4666666666666659</v>
      </c>
    </row>
    <row r="160" spans="1:29" x14ac:dyDescent="0.3">
      <c r="A160" s="131" t="s">
        <v>411</v>
      </c>
      <c r="B160" s="115">
        <v>2001</v>
      </c>
      <c r="C160" s="115">
        <v>6800</v>
      </c>
      <c r="D160" s="115"/>
      <c r="E160" s="115"/>
      <c r="F160" s="115">
        <v>30</v>
      </c>
      <c r="G160" s="115">
        <v>212</v>
      </c>
      <c r="H160" s="115">
        <v>198</v>
      </c>
      <c r="I160" s="115">
        <v>25</v>
      </c>
      <c r="J160" s="115">
        <v>6.6</v>
      </c>
      <c r="K160" s="115">
        <v>9.9</v>
      </c>
      <c r="L160" s="115">
        <f t="shared" si="0"/>
        <v>3.3000000000000007</v>
      </c>
      <c r="M160" s="115">
        <v>26995</v>
      </c>
      <c r="N160" s="115"/>
      <c r="O160" s="115" t="s">
        <v>412</v>
      </c>
      <c r="P160" s="115">
        <v>104</v>
      </c>
      <c r="Q160" s="115">
        <v>87</v>
      </c>
      <c r="R160" s="115">
        <v>1000</v>
      </c>
      <c r="S160" s="115">
        <v>900</v>
      </c>
      <c r="T160" s="115">
        <v>250</v>
      </c>
      <c r="U160" s="115">
        <v>3800</v>
      </c>
      <c r="V160" s="115">
        <f>4*12600</f>
        <v>50400</v>
      </c>
      <c r="W160" s="115">
        <v>500</v>
      </c>
      <c r="X160" s="115">
        <v>178.6</v>
      </c>
      <c r="Y160" s="115">
        <f t="shared" si="1"/>
        <v>0.35018104748524514</v>
      </c>
      <c r="Z160" s="115">
        <f t="shared" si="2"/>
        <v>7.7687787206414844</v>
      </c>
      <c r="AA160" s="115">
        <f t="shared" si="3"/>
        <v>0.50674349412852326</v>
      </c>
      <c r="AB160" s="115">
        <f t="shared" si="4"/>
        <v>3.7878787878787881</v>
      </c>
      <c r="AC160" s="132">
        <f t="shared" si="5"/>
        <v>7.92</v>
      </c>
    </row>
    <row r="161" spans="1:29" x14ac:dyDescent="0.3">
      <c r="A161" s="131" t="s">
        <v>413</v>
      </c>
      <c r="B161" s="115">
        <v>2001</v>
      </c>
      <c r="C161" s="115">
        <v>7200</v>
      </c>
      <c r="D161" s="115"/>
      <c r="E161" s="115"/>
      <c r="F161" s="115">
        <v>22</v>
      </c>
      <c r="G161" s="115">
        <v>190.75</v>
      </c>
      <c r="H161" s="115">
        <v>175</v>
      </c>
      <c r="I161" s="115">
        <v>29.5</v>
      </c>
      <c r="J161" s="115">
        <v>6.2</v>
      </c>
      <c r="K161" s="115">
        <v>9.1999999999999993</v>
      </c>
      <c r="L161" s="115">
        <f t="shared" si="0"/>
        <v>2.9999999999999991</v>
      </c>
      <c r="M161" s="115">
        <v>36648</v>
      </c>
      <c r="N161" s="115">
        <v>3</v>
      </c>
      <c r="O161" s="115" t="s">
        <v>414</v>
      </c>
      <c r="P161" s="115"/>
      <c r="Q161" s="115" t="s">
        <v>415</v>
      </c>
      <c r="R161" s="115">
        <v>744</v>
      </c>
      <c r="S161" s="115">
        <v>946</v>
      </c>
      <c r="T161" s="115">
        <v>70</v>
      </c>
      <c r="U161" s="115">
        <v>2644</v>
      </c>
      <c r="V161" s="115">
        <f>2*7200+2*6300+2880</f>
        <v>29880</v>
      </c>
      <c r="W161" s="115" t="s">
        <v>416</v>
      </c>
      <c r="X161" s="115"/>
      <c r="Y161" s="115">
        <f t="shared" si="1"/>
        <v>0.27315404388191039</v>
      </c>
      <c r="Z161" s="115">
        <f t="shared" si="2"/>
        <v>6.5783110181641646</v>
      </c>
      <c r="AA161" s="115">
        <f t="shared" si="3"/>
        <v>0.58819209503131475</v>
      </c>
      <c r="AB161" s="115">
        <f t="shared" si="4"/>
        <v>4.758064516129032</v>
      </c>
      <c r="AC161" s="132">
        <f t="shared" si="5"/>
        <v>5.9322033898305087</v>
      </c>
    </row>
    <row r="162" spans="1:29" x14ac:dyDescent="0.3">
      <c r="A162" s="131" t="s">
        <v>417</v>
      </c>
      <c r="B162" s="115">
        <v>2006</v>
      </c>
      <c r="C162" s="115">
        <v>13200</v>
      </c>
      <c r="D162" s="115">
        <v>20600</v>
      </c>
      <c r="E162" s="115">
        <v>33800</v>
      </c>
      <c r="F162" s="115">
        <v>20.6</v>
      </c>
      <c r="G162" s="115">
        <v>199</v>
      </c>
      <c r="H162" s="115">
        <v>190.5</v>
      </c>
      <c r="I162" s="115">
        <v>32.26</v>
      </c>
      <c r="J162" s="115">
        <v>9.5</v>
      </c>
      <c r="K162" s="115">
        <v>14.3</v>
      </c>
      <c r="L162" s="115">
        <f t="shared" si="0"/>
        <v>4.8000000000000007</v>
      </c>
      <c r="M162" s="115"/>
      <c r="N162" s="115"/>
      <c r="O162" s="115"/>
      <c r="P162" s="115">
        <v>6700</v>
      </c>
      <c r="Q162" s="115"/>
      <c r="R162" s="115"/>
      <c r="S162" s="115">
        <v>4160</v>
      </c>
      <c r="T162" s="115">
        <v>400</v>
      </c>
      <c r="U162" s="115">
        <v>9300</v>
      </c>
      <c r="V162" s="115">
        <v>15820</v>
      </c>
      <c r="W162" s="115"/>
      <c r="X162" s="115"/>
      <c r="Y162" s="115">
        <f t="shared" si="1"/>
        <v>0.24514537734082287</v>
      </c>
      <c r="Z162" s="115">
        <f t="shared" si="2"/>
        <v>5.7354057953533015</v>
      </c>
      <c r="AA162" s="115">
        <f t="shared" si="3"/>
        <v>0.62763844710522598</v>
      </c>
      <c r="AB162" s="115">
        <f t="shared" si="4"/>
        <v>3.3957894736842102</v>
      </c>
      <c r="AC162" s="132">
        <f t="shared" si="5"/>
        <v>5.9051456912585252</v>
      </c>
    </row>
    <row r="163" spans="1:29" x14ac:dyDescent="0.3">
      <c r="A163" s="131" t="s">
        <v>418</v>
      </c>
      <c r="B163" s="115">
        <v>2005</v>
      </c>
      <c r="C163" s="115">
        <v>10600</v>
      </c>
      <c r="D163" s="115"/>
      <c r="E163" s="115">
        <v>10600</v>
      </c>
      <c r="F163" s="115">
        <v>20</v>
      </c>
      <c r="G163" s="115">
        <v>179.99</v>
      </c>
      <c r="H163" s="115">
        <v>167</v>
      </c>
      <c r="I163" s="115">
        <v>32.200000000000003</v>
      </c>
      <c r="J163" s="115">
        <v>8.4</v>
      </c>
      <c r="K163" s="115">
        <v>12.6</v>
      </c>
      <c r="L163" s="115">
        <f t="shared" si="0"/>
        <v>4.1999999999999993</v>
      </c>
      <c r="M163" s="115"/>
      <c r="N163" s="115"/>
      <c r="O163" s="115"/>
      <c r="P163" s="115">
        <v>5036</v>
      </c>
      <c r="Q163" s="115"/>
      <c r="R163" s="115"/>
      <c r="S163" s="115">
        <v>2956</v>
      </c>
      <c r="T163" s="115"/>
      <c r="U163" s="115"/>
      <c r="V163" s="115">
        <v>15785</v>
      </c>
      <c r="W163" s="115"/>
      <c r="X163" s="115"/>
      <c r="Y163" s="115">
        <f t="shared" si="1"/>
        <v>0.25420011224093775</v>
      </c>
      <c r="Z163" s="115">
        <f t="shared" si="2"/>
        <v>5.51670576111239</v>
      </c>
      <c r="AA163" s="115">
        <f t="shared" si="3"/>
        <v>0.61412718365933527</v>
      </c>
      <c r="AB163" s="115">
        <f t="shared" si="4"/>
        <v>3.8333333333333335</v>
      </c>
      <c r="AC163" s="132">
        <f t="shared" si="5"/>
        <v>5.1863354037267078</v>
      </c>
    </row>
    <row r="164" spans="1:29" x14ac:dyDescent="0.3">
      <c r="A164" s="131" t="s">
        <v>419</v>
      </c>
      <c r="B164" s="115">
        <v>2005</v>
      </c>
      <c r="C164" s="115">
        <v>5800</v>
      </c>
      <c r="D164" s="115">
        <v>8657</v>
      </c>
      <c r="E164" s="115">
        <v>5800</v>
      </c>
      <c r="F164" s="115">
        <v>19</v>
      </c>
      <c r="G164" s="115">
        <v>148</v>
      </c>
      <c r="H164" s="115">
        <v>134</v>
      </c>
      <c r="I164" s="115">
        <v>25</v>
      </c>
      <c r="J164" s="115">
        <v>7.2</v>
      </c>
      <c r="K164" s="115">
        <v>11.8</v>
      </c>
      <c r="L164" s="115">
        <f t="shared" si="0"/>
        <v>4.6000000000000005</v>
      </c>
      <c r="M164" s="115"/>
      <c r="N164" s="115"/>
      <c r="O164" s="115"/>
      <c r="P164" s="115">
        <v>2137</v>
      </c>
      <c r="Q164" s="115"/>
      <c r="R164" s="115"/>
      <c r="S164" s="115">
        <v>1400</v>
      </c>
      <c r="T164" s="115">
        <v>180</v>
      </c>
      <c r="U164" s="115">
        <v>3850</v>
      </c>
      <c r="V164" s="115">
        <v>9170</v>
      </c>
      <c r="W164" s="115"/>
      <c r="X164" s="115"/>
      <c r="Y164" s="115">
        <f t="shared" si="1"/>
        <v>0.26959086964059548</v>
      </c>
      <c r="Z164" s="115">
        <f t="shared" si="2"/>
        <v>5.5207592877855847</v>
      </c>
      <c r="AA164" s="115">
        <f t="shared" si="3"/>
        <v>0.59284431056188991</v>
      </c>
      <c r="AB164" s="115">
        <f t="shared" si="4"/>
        <v>3.4722222222222223</v>
      </c>
      <c r="AC164" s="132">
        <f t="shared" si="5"/>
        <v>5.36</v>
      </c>
    </row>
    <row r="165" spans="1:29" x14ac:dyDescent="0.3">
      <c r="A165" s="131" t="s">
        <v>420</v>
      </c>
      <c r="B165" s="115"/>
      <c r="C165" s="115">
        <v>6170</v>
      </c>
      <c r="D165" s="115"/>
      <c r="E165" s="115"/>
      <c r="F165" s="115">
        <v>22</v>
      </c>
      <c r="G165" s="115">
        <v>166.75</v>
      </c>
      <c r="H165" s="115">
        <v>157.65</v>
      </c>
      <c r="I165" s="115">
        <v>23.4</v>
      </c>
      <c r="J165" s="115">
        <v>5.8</v>
      </c>
      <c r="K165" s="115">
        <v>8.6</v>
      </c>
      <c r="L165" s="115">
        <f t="shared" si="0"/>
        <v>2.8</v>
      </c>
      <c r="M165" s="115"/>
      <c r="N165" s="115"/>
      <c r="O165" s="115"/>
      <c r="P165" s="115"/>
      <c r="Q165" s="115"/>
      <c r="R165" s="115"/>
      <c r="S165" s="115">
        <v>1295</v>
      </c>
      <c r="T165" s="115"/>
      <c r="U165" s="115"/>
      <c r="V165" s="115">
        <f>2*6480+2*5760</f>
        <v>24480</v>
      </c>
      <c r="W165" s="115">
        <v>510</v>
      </c>
      <c r="X165" s="115"/>
      <c r="Y165" s="115">
        <f t="shared" si="1"/>
        <v>0.287792632087643</v>
      </c>
      <c r="Z165" s="115">
        <f t="shared" si="2"/>
        <v>6.8487194981097685</v>
      </c>
      <c r="AA165" s="115">
        <f t="shared" si="3"/>
        <v>0.57005395280710336</v>
      </c>
      <c r="AB165" s="115">
        <f t="shared" si="4"/>
        <v>4.0344827586206895</v>
      </c>
      <c r="AC165" s="132">
        <f t="shared" si="5"/>
        <v>6.7371794871794881</v>
      </c>
    </row>
    <row r="166" spans="1:29" x14ac:dyDescent="0.3">
      <c r="A166" s="131" t="s">
        <v>421</v>
      </c>
      <c r="B166" s="115"/>
      <c r="C166" s="115">
        <v>9600</v>
      </c>
      <c r="D166" s="115"/>
      <c r="E166" s="115"/>
      <c r="F166" s="115">
        <v>20.6</v>
      </c>
      <c r="G166" s="115">
        <v>180</v>
      </c>
      <c r="H166" s="115">
        <v>166.2</v>
      </c>
      <c r="I166" s="115">
        <v>25.2</v>
      </c>
      <c r="J166" s="115">
        <v>6</v>
      </c>
      <c r="K166" s="115">
        <v>8.5</v>
      </c>
      <c r="L166" s="115">
        <f t="shared" si="0"/>
        <v>2.5</v>
      </c>
      <c r="M166" s="115"/>
      <c r="N166" s="115"/>
      <c r="O166" s="115"/>
      <c r="P166" s="115"/>
      <c r="Q166" s="115"/>
      <c r="R166" s="115"/>
      <c r="S166" s="115">
        <v>1110</v>
      </c>
      <c r="T166" s="115"/>
      <c r="U166" s="115"/>
      <c r="V166" s="115">
        <f>2*9459</f>
        <v>18918</v>
      </c>
      <c r="W166" s="115">
        <v>500</v>
      </c>
      <c r="X166" s="115"/>
      <c r="Y166" s="115">
        <f t="shared" si="1"/>
        <v>0.26245550621728653</v>
      </c>
      <c r="Z166" s="115">
        <f t="shared" si="2"/>
        <v>6.7183088573986556</v>
      </c>
      <c r="AA166" s="115">
        <f t="shared" si="3"/>
        <v>0.60246295973907193</v>
      </c>
      <c r="AB166" s="115">
        <f t="shared" si="4"/>
        <v>4.2</v>
      </c>
      <c r="AC166" s="132">
        <f t="shared" si="5"/>
        <v>6.5952380952380949</v>
      </c>
    </row>
    <row r="167" spans="1:29" x14ac:dyDescent="0.3">
      <c r="A167" s="131" t="s">
        <v>422</v>
      </c>
      <c r="B167" s="115"/>
      <c r="C167" s="115">
        <v>8050</v>
      </c>
      <c r="D167" s="115"/>
      <c r="E167" s="115"/>
      <c r="F167" s="115">
        <v>20</v>
      </c>
      <c r="G167" s="115">
        <v>162.19999999999999</v>
      </c>
      <c r="H167" s="115">
        <v>148.77000000000001</v>
      </c>
      <c r="I167" s="115">
        <v>20.6</v>
      </c>
      <c r="J167" s="115">
        <v>6.6</v>
      </c>
      <c r="K167" s="115">
        <v>8</v>
      </c>
      <c r="L167" s="115">
        <f t="shared" si="0"/>
        <v>1.4000000000000004</v>
      </c>
      <c r="M167" s="115"/>
      <c r="N167" s="115"/>
      <c r="O167" s="115"/>
      <c r="P167" s="115"/>
      <c r="Q167" s="115"/>
      <c r="R167" s="115"/>
      <c r="S167" s="115"/>
      <c r="T167" s="115"/>
      <c r="U167" s="115"/>
      <c r="V167" s="115">
        <v>12600</v>
      </c>
      <c r="W167" s="115">
        <v>500</v>
      </c>
      <c r="X167" s="115"/>
      <c r="Y167" s="115">
        <f t="shared" si="1"/>
        <v>0.26932476653426601</v>
      </c>
      <c r="Z167" s="115">
        <f t="shared" si="2"/>
        <v>6.4984112747250133</v>
      </c>
      <c r="AA167" s="115">
        <f t="shared" si="3"/>
        <v>0.59319569277203432</v>
      </c>
      <c r="AB167" s="115">
        <f t="shared" si="4"/>
        <v>3.1212121212121215</v>
      </c>
      <c r="AC167" s="132">
        <f t="shared" si="5"/>
        <v>7.2218446601941748</v>
      </c>
    </row>
    <row r="168" spans="1:29" x14ac:dyDescent="0.3">
      <c r="A168" s="131" t="s">
        <v>423</v>
      </c>
      <c r="B168" s="115"/>
      <c r="C168" s="115">
        <v>7730</v>
      </c>
      <c r="D168" s="115">
        <v>11989</v>
      </c>
      <c r="E168" s="115"/>
      <c r="F168" s="115">
        <v>21.6</v>
      </c>
      <c r="G168" s="115">
        <v>193</v>
      </c>
      <c r="H168" s="115">
        <v>182.39</v>
      </c>
      <c r="I168" s="115">
        <v>26</v>
      </c>
      <c r="J168" s="115">
        <v>5.7</v>
      </c>
      <c r="K168" s="115">
        <v>8.6</v>
      </c>
      <c r="L168" s="115">
        <f t="shared" si="0"/>
        <v>2.8999999999999995</v>
      </c>
      <c r="M168" s="115"/>
      <c r="N168" s="115"/>
      <c r="O168" s="115"/>
      <c r="P168" s="115"/>
      <c r="Q168" s="115"/>
      <c r="R168" s="115"/>
      <c r="S168" s="115">
        <v>1798</v>
      </c>
      <c r="T168" s="115"/>
      <c r="U168" s="115"/>
      <c r="V168" s="115">
        <v>16200</v>
      </c>
      <c r="W168" s="115">
        <v>500</v>
      </c>
      <c r="X168" s="115"/>
      <c r="Y168" s="115">
        <f t="shared" si="1"/>
        <v>0.26269827279681163</v>
      </c>
      <c r="Z168" s="115">
        <f t="shared" si="2"/>
        <v>7.1970546936218618</v>
      </c>
      <c r="AA168" s="115">
        <f t="shared" si="3"/>
        <v>0.60212884658110299</v>
      </c>
      <c r="AB168" s="115">
        <f t="shared" si="4"/>
        <v>4.5614035087719298</v>
      </c>
      <c r="AC168" s="132">
        <f t="shared" si="5"/>
        <v>7.0149999999999997</v>
      </c>
    </row>
    <row r="169" spans="1:29" x14ac:dyDescent="0.3">
      <c r="A169" s="131" t="s">
        <v>424</v>
      </c>
      <c r="B169" s="115"/>
      <c r="C169" s="115">
        <v>6800</v>
      </c>
      <c r="D169" s="115"/>
      <c r="E169" s="115"/>
      <c r="F169" s="115">
        <v>22</v>
      </c>
      <c r="G169" s="115"/>
      <c r="H169" s="115">
        <v>170</v>
      </c>
      <c r="I169" s="115">
        <v>28.7</v>
      </c>
      <c r="J169" s="115">
        <v>6</v>
      </c>
      <c r="K169" s="115">
        <v>9</v>
      </c>
      <c r="L169" s="115">
        <f t="shared" si="0"/>
        <v>3</v>
      </c>
      <c r="M169" s="115"/>
      <c r="N169" s="115"/>
      <c r="O169" s="115"/>
      <c r="P169" s="115"/>
      <c r="Q169" s="115"/>
      <c r="R169" s="115"/>
      <c r="S169" s="115">
        <v>1400</v>
      </c>
      <c r="T169" s="115"/>
      <c r="U169" s="115"/>
      <c r="V169" s="115">
        <f>4*5760</f>
        <v>23040</v>
      </c>
      <c r="W169" s="115">
        <v>510</v>
      </c>
      <c r="X169" s="115"/>
      <c r="Y169" s="115">
        <f t="shared" si="1"/>
        <v>0.27714190509962167</v>
      </c>
      <c r="Z169" s="115">
        <f t="shared" si="2"/>
        <v>6.6024849018760303</v>
      </c>
      <c r="AA169" s="115">
        <f t="shared" si="3"/>
        <v>0.58309919968785795</v>
      </c>
      <c r="AB169" s="115">
        <f t="shared" si="4"/>
        <v>4.7833333333333332</v>
      </c>
      <c r="AC169" s="132">
        <f t="shared" si="5"/>
        <v>5.9233449477351918</v>
      </c>
    </row>
    <row r="170" spans="1:29" x14ac:dyDescent="0.3">
      <c r="A170" s="131" t="s">
        <v>425</v>
      </c>
      <c r="B170" s="115"/>
      <c r="C170" s="115">
        <v>7200</v>
      </c>
      <c r="D170" s="115">
        <v>6927</v>
      </c>
      <c r="E170" s="115"/>
      <c r="F170" s="115">
        <v>20</v>
      </c>
      <c r="G170" s="115">
        <v>152</v>
      </c>
      <c r="H170" s="115">
        <v>140</v>
      </c>
      <c r="I170" s="115">
        <v>23.6</v>
      </c>
      <c r="J170" s="115">
        <v>6.3</v>
      </c>
      <c r="K170" s="115">
        <v>8.1</v>
      </c>
      <c r="L170" s="115">
        <f t="shared" si="0"/>
        <v>1.7999999999999998</v>
      </c>
      <c r="M170" s="115"/>
      <c r="N170" s="115"/>
      <c r="O170" s="115"/>
      <c r="P170" s="115"/>
      <c r="Q170" s="115"/>
      <c r="R170" s="115"/>
      <c r="S170" s="115">
        <v>927</v>
      </c>
      <c r="T170" s="115"/>
      <c r="U170" s="115"/>
      <c r="V170" s="115">
        <f>4*3840</f>
        <v>15360</v>
      </c>
      <c r="W170" s="115">
        <v>750</v>
      </c>
      <c r="X170" s="115"/>
      <c r="Y170" s="115">
        <f t="shared" si="1"/>
        <v>0.27763227747677827</v>
      </c>
      <c r="Z170" s="115">
        <f t="shared" si="2"/>
        <v>6.0940672533820335</v>
      </c>
      <c r="AA170" s="115">
        <f t="shared" si="3"/>
        <v>0.58248103633672343</v>
      </c>
      <c r="AB170" s="115">
        <f t="shared" si="4"/>
        <v>3.7460317460317465</v>
      </c>
      <c r="AC170" s="132">
        <f t="shared" si="5"/>
        <v>5.9322033898305078</v>
      </c>
    </row>
    <row r="171" spans="1:29" x14ac:dyDescent="0.3">
      <c r="A171" s="131" t="s">
        <v>426</v>
      </c>
      <c r="B171" s="115"/>
      <c r="C171" s="115">
        <v>5238</v>
      </c>
      <c r="D171" s="115">
        <v>4476</v>
      </c>
      <c r="E171" s="115"/>
      <c r="F171" s="115">
        <v>18</v>
      </c>
      <c r="G171" s="115">
        <v>126.4</v>
      </c>
      <c r="H171" s="115">
        <v>118.5</v>
      </c>
      <c r="I171" s="115">
        <v>21</v>
      </c>
      <c r="J171" s="115">
        <v>6</v>
      </c>
      <c r="K171" s="115">
        <v>7.5</v>
      </c>
      <c r="L171" s="115">
        <f t="shared" si="0"/>
        <v>1.5</v>
      </c>
      <c r="M171" s="115"/>
      <c r="N171" s="115"/>
      <c r="O171" s="115"/>
      <c r="P171" s="115"/>
      <c r="Q171" s="115"/>
      <c r="R171" s="115"/>
      <c r="S171" s="115">
        <v>849</v>
      </c>
      <c r="T171" s="115"/>
      <c r="U171" s="115"/>
      <c r="V171" s="115">
        <v>8600</v>
      </c>
      <c r="W171" s="115">
        <v>500</v>
      </c>
      <c r="X171" s="115"/>
      <c r="Y171" s="115">
        <f t="shared" si="1"/>
        <v>0.27159220923300015</v>
      </c>
      <c r="Z171" s="115">
        <f t="shared" si="2"/>
        <v>5.7369921905572259</v>
      </c>
      <c r="AA171" s="115">
        <f t="shared" si="3"/>
        <v>0.5902192629907026</v>
      </c>
      <c r="AB171" s="115">
        <f t="shared" si="4"/>
        <v>3.5</v>
      </c>
      <c r="AC171" s="132">
        <f t="shared" si="5"/>
        <v>5.6428571428571432</v>
      </c>
    </row>
    <row r="172" spans="1:29" x14ac:dyDescent="0.3">
      <c r="A172" s="131" t="s">
        <v>427</v>
      </c>
      <c r="B172" s="115">
        <v>1998</v>
      </c>
      <c r="C172" s="115">
        <v>7300</v>
      </c>
      <c r="D172" s="115">
        <v>9600</v>
      </c>
      <c r="E172" s="115"/>
      <c r="F172" s="115">
        <v>23.3</v>
      </c>
      <c r="G172" s="115">
        <v>180</v>
      </c>
      <c r="H172" s="115">
        <v>168.7</v>
      </c>
      <c r="I172" s="115">
        <v>25.2</v>
      </c>
      <c r="J172" s="115">
        <v>6.5</v>
      </c>
      <c r="K172" s="115">
        <v>8.6999999999999993</v>
      </c>
      <c r="L172" s="115">
        <f t="shared" si="0"/>
        <v>2.1999999999999993</v>
      </c>
      <c r="M172" s="115">
        <v>22152</v>
      </c>
      <c r="N172" s="115"/>
      <c r="O172" s="115">
        <v>2000</v>
      </c>
      <c r="P172" s="115"/>
      <c r="Q172" s="115"/>
      <c r="R172" s="115">
        <v>214</v>
      </c>
      <c r="S172" s="115">
        <v>1341</v>
      </c>
      <c r="T172" s="115"/>
      <c r="U172" s="115"/>
      <c r="V172" s="115">
        <f>4*5940</f>
        <v>23760</v>
      </c>
      <c r="W172" s="115">
        <v>600</v>
      </c>
      <c r="X172" s="115"/>
      <c r="Y172" s="115">
        <f t="shared" si="1"/>
        <v>0.29464722661026155</v>
      </c>
      <c r="Z172" s="115">
        <f t="shared" si="2"/>
        <v>6.761524708225406</v>
      </c>
      <c r="AA172" s="115">
        <f t="shared" si="3"/>
        <v>0.56205957360799519</v>
      </c>
      <c r="AB172" s="115">
        <f t="shared" si="4"/>
        <v>3.8769230769230769</v>
      </c>
      <c r="AC172" s="132">
        <f t="shared" si="5"/>
        <v>6.6944444444444438</v>
      </c>
    </row>
    <row r="173" spans="1:29" x14ac:dyDescent="0.3">
      <c r="A173" s="131" t="s">
        <v>428</v>
      </c>
      <c r="B173" s="115">
        <v>1999</v>
      </c>
      <c r="C173" s="115">
        <v>4504</v>
      </c>
      <c r="D173" s="115"/>
      <c r="E173" s="115"/>
      <c r="F173" s="115">
        <v>18.5</v>
      </c>
      <c r="G173" s="115">
        <v>129.1</v>
      </c>
      <c r="H173" s="115">
        <v>117.6</v>
      </c>
      <c r="I173" s="115">
        <v>23.4</v>
      </c>
      <c r="J173" s="115">
        <v>5.8</v>
      </c>
      <c r="K173" s="115">
        <v>14.7</v>
      </c>
      <c r="L173" s="115">
        <f t="shared" si="0"/>
        <v>8.8999999999999986</v>
      </c>
      <c r="M173" s="115">
        <v>14000</v>
      </c>
      <c r="N173" s="115"/>
      <c r="O173" s="115">
        <v>1265</v>
      </c>
      <c r="P173" s="115"/>
      <c r="Q173" s="115"/>
      <c r="R173" s="115">
        <v>500</v>
      </c>
      <c r="S173" s="115"/>
      <c r="T173" s="115"/>
      <c r="U173" s="115"/>
      <c r="V173" s="115">
        <v>8640</v>
      </c>
      <c r="W173" s="115"/>
      <c r="X173" s="115"/>
      <c r="Y173" s="115">
        <f t="shared" si="1"/>
        <v>0.28020252556733233</v>
      </c>
      <c r="Z173" s="115">
        <f t="shared" si="2"/>
        <v>5.6031220836823126</v>
      </c>
      <c r="AA173" s="115">
        <f t="shared" si="3"/>
        <v>0.57926933261220026</v>
      </c>
      <c r="AB173" s="115">
        <f t="shared" si="4"/>
        <v>4.0344827586206895</v>
      </c>
      <c r="AC173" s="132">
        <f t="shared" si="5"/>
        <v>5.0256410256410255</v>
      </c>
    </row>
    <row r="174" spans="1:29" x14ac:dyDescent="0.3">
      <c r="A174" s="131" t="s">
        <v>368</v>
      </c>
      <c r="B174" s="115">
        <v>2005</v>
      </c>
      <c r="C174" s="115">
        <v>2100</v>
      </c>
      <c r="D174" s="115"/>
      <c r="E174" s="115"/>
      <c r="F174" s="115">
        <v>21</v>
      </c>
      <c r="G174" s="115">
        <v>138</v>
      </c>
      <c r="H174" s="115">
        <v>123</v>
      </c>
      <c r="I174" s="115">
        <v>22.7</v>
      </c>
      <c r="J174" s="115">
        <v>5.8129999999999997</v>
      </c>
      <c r="K174" s="115">
        <v>13.7</v>
      </c>
      <c r="L174" s="115">
        <f t="shared" si="0"/>
        <v>7.8869999999999996</v>
      </c>
      <c r="M174" s="115">
        <v>8500</v>
      </c>
      <c r="N174" s="115"/>
      <c r="O174" s="115">
        <v>540</v>
      </c>
      <c r="P174" s="115"/>
      <c r="Q174" s="115"/>
      <c r="R174" s="115" t="s">
        <v>429</v>
      </c>
      <c r="S174" s="115"/>
      <c r="T174" s="115"/>
      <c r="U174" s="115"/>
      <c r="V174" s="115">
        <v>13440</v>
      </c>
      <c r="W174" s="115"/>
      <c r="X174" s="115"/>
      <c r="Y174" s="115">
        <f t="shared" si="1"/>
        <v>0.31100739592090904</v>
      </c>
      <c r="Z174" s="115">
        <f t="shared" si="2"/>
        <v>5.9506019865078654</v>
      </c>
      <c r="AA174" s="115">
        <f t="shared" si="3"/>
        <v>0.54412832500546793</v>
      </c>
      <c r="AB174" s="115">
        <f t="shared" si="4"/>
        <v>3.9050404266299674</v>
      </c>
      <c r="AC174" s="132">
        <f t="shared" si="5"/>
        <v>5.4185022026431717</v>
      </c>
    </row>
    <row r="175" spans="1:29" x14ac:dyDescent="0.3">
      <c r="A175" s="131" t="s">
        <v>430</v>
      </c>
      <c r="B175" s="115">
        <v>2002</v>
      </c>
      <c r="C175" s="115">
        <v>6920</v>
      </c>
      <c r="D175" s="115"/>
      <c r="E175" s="115"/>
      <c r="F175" s="115">
        <v>29</v>
      </c>
      <c r="G175" s="115">
        <v>203.9</v>
      </c>
      <c r="H175" s="115">
        <v>185.6</v>
      </c>
      <c r="I175" s="115">
        <v>25.4</v>
      </c>
      <c r="J175" s="115">
        <v>6.4</v>
      </c>
      <c r="K175" s="115">
        <v>18.5</v>
      </c>
      <c r="L175" s="115">
        <f t="shared" si="0"/>
        <v>12.1</v>
      </c>
      <c r="M175" s="115">
        <v>30285</v>
      </c>
      <c r="N175" s="115"/>
      <c r="O175" s="115"/>
      <c r="P175" s="115"/>
      <c r="Q175" s="115"/>
      <c r="R175" s="115"/>
      <c r="S175" s="115"/>
      <c r="T175" s="115"/>
      <c r="U175" s="115"/>
      <c r="V175" s="115">
        <v>46080</v>
      </c>
      <c r="W175" s="115"/>
      <c r="X175" s="115"/>
      <c r="Y175" s="115">
        <f t="shared" si="1"/>
        <v>0.34963346146222585</v>
      </c>
      <c r="Z175" s="115">
        <f t="shared" si="2"/>
        <v>7.475646572450402</v>
      </c>
      <c r="AA175" s="115">
        <f t="shared" si="3"/>
        <v>0.5072195334622529</v>
      </c>
      <c r="AB175" s="115">
        <f t="shared" si="4"/>
        <v>3.9687499999999996</v>
      </c>
      <c r="AC175" s="132">
        <f t="shared" si="5"/>
        <v>7.3070866141732287</v>
      </c>
    </row>
    <row r="176" spans="1:29" x14ac:dyDescent="0.3">
      <c r="A176" s="131" t="s">
        <v>431</v>
      </c>
      <c r="B176" s="115">
        <v>1983</v>
      </c>
      <c r="C176" s="115">
        <v>950</v>
      </c>
      <c r="D176" s="115"/>
      <c r="E176" s="115"/>
      <c r="F176" s="115">
        <v>17.5</v>
      </c>
      <c r="G176" s="115">
        <v>108.6</v>
      </c>
      <c r="H176" s="115">
        <v>96</v>
      </c>
      <c r="I176" s="115">
        <v>16.5</v>
      </c>
      <c r="J176" s="115">
        <v>4.5999999999999996</v>
      </c>
      <c r="K176" s="115">
        <v>8.85</v>
      </c>
      <c r="L176" s="115">
        <f t="shared" si="0"/>
        <v>4.25</v>
      </c>
      <c r="M176" s="115">
        <v>4072</v>
      </c>
      <c r="N176" s="115"/>
      <c r="O176" s="115"/>
      <c r="P176" s="115">
        <v>35</v>
      </c>
      <c r="Q176" s="115"/>
      <c r="R176" s="115">
        <v>510</v>
      </c>
      <c r="S176" s="115"/>
      <c r="T176" s="115"/>
      <c r="U176" s="115"/>
      <c r="V176" s="115"/>
      <c r="W176" s="115"/>
      <c r="X176" s="115"/>
      <c r="Y176" s="115">
        <f t="shared" si="1"/>
        <v>0.2933637240492728</v>
      </c>
      <c r="Z176" s="115">
        <f t="shared" si="2"/>
        <v>5.9950607827752762</v>
      </c>
      <c r="AA176" s="115">
        <f t="shared" si="3"/>
        <v>0.56353373325637568</v>
      </c>
      <c r="AB176" s="115">
        <f t="shared" si="4"/>
        <v>3.5869565217391308</v>
      </c>
      <c r="AC176" s="132">
        <f t="shared" si="5"/>
        <v>5.8181818181818183</v>
      </c>
    </row>
    <row r="177" spans="1:29" x14ac:dyDescent="0.3">
      <c r="A177" s="131" t="s">
        <v>432</v>
      </c>
      <c r="B177" s="115">
        <v>1987</v>
      </c>
      <c r="C177" s="115">
        <v>6965</v>
      </c>
      <c r="D177" s="115"/>
      <c r="E177" s="115"/>
      <c r="F177" s="115">
        <v>22.5</v>
      </c>
      <c r="G177" s="115">
        <v>184.5</v>
      </c>
      <c r="H177" s="115">
        <v>171</v>
      </c>
      <c r="I177" s="115">
        <v>26.5</v>
      </c>
      <c r="J177" s="115">
        <v>6.7839999999999998</v>
      </c>
      <c r="K177" s="115">
        <v>14.25</v>
      </c>
      <c r="L177" s="115">
        <f t="shared" si="0"/>
        <v>7.4660000000000002</v>
      </c>
      <c r="M177" s="115">
        <v>26906</v>
      </c>
      <c r="N177" s="115"/>
      <c r="O177" s="115"/>
      <c r="P177" s="115"/>
      <c r="Q177" s="115"/>
      <c r="R177" s="115">
        <v>350</v>
      </c>
      <c r="S177" s="115"/>
      <c r="T177" s="115"/>
      <c r="U177" s="115"/>
      <c r="V177" s="115">
        <v>21844</v>
      </c>
      <c r="W177" s="115"/>
      <c r="X177" s="115"/>
      <c r="Y177" s="115">
        <f t="shared" si="1"/>
        <v>0.28261059590809678</v>
      </c>
      <c r="Z177" s="115">
        <f t="shared" si="2"/>
        <v>6.5594879105243571</v>
      </c>
      <c r="AA177" s="115">
        <f t="shared" si="3"/>
        <v>0.57630276025098959</v>
      </c>
      <c r="AB177" s="115">
        <f t="shared" si="4"/>
        <v>3.90625</v>
      </c>
      <c r="AC177" s="132">
        <f t="shared" si="5"/>
        <v>6.4528301886792452</v>
      </c>
    </row>
    <row r="178" spans="1:29" x14ac:dyDescent="0.3">
      <c r="A178" s="131" t="s">
        <v>433</v>
      </c>
      <c r="B178" s="115">
        <v>1979</v>
      </c>
      <c r="C178" s="115">
        <v>5024</v>
      </c>
      <c r="D178" s="115"/>
      <c r="E178" s="115"/>
      <c r="F178" s="115">
        <v>19.5</v>
      </c>
      <c r="G178" s="115">
        <v>150</v>
      </c>
      <c r="H178" s="115">
        <v>141</v>
      </c>
      <c r="I178" s="115">
        <v>21.8</v>
      </c>
      <c r="J178" s="115">
        <v>5.1150000000000002</v>
      </c>
      <c r="K178" s="115">
        <v>13.01</v>
      </c>
      <c r="L178" s="115">
        <f t="shared" si="0"/>
        <v>7.8949999999999996</v>
      </c>
      <c r="M178" s="115">
        <v>18653</v>
      </c>
      <c r="N178" s="115"/>
      <c r="O178" s="115">
        <v>2261</v>
      </c>
      <c r="P178" s="115"/>
      <c r="Q178" s="115"/>
      <c r="R178" s="115">
        <v>130</v>
      </c>
      <c r="S178" s="115"/>
      <c r="T178" s="115"/>
      <c r="U178" s="115"/>
      <c r="V178" s="115">
        <v>12000</v>
      </c>
      <c r="W178" s="115"/>
      <c r="X178" s="115"/>
      <c r="Y178" s="115">
        <f t="shared" si="1"/>
        <v>0.26972986369771079</v>
      </c>
      <c r="Z178" s="115">
        <f t="shared" si="2"/>
        <v>6.7005417324506773</v>
      </c>
      <c r="AA178" s="115">
        <f t="shared" si="3"/>
        <v>0.592660993084143</v>
      </c>
      <c r="AB178" s="115">
        <f t="shared" si="4"/>
        <v>4.2619745845552295</v>
      </c>
      <c r="AC178" s="132">
        <f t="shared" si="5"/>
        <v>6.4678899082568808</v>
      </c>
    </row>
    <row r="179" spans="1:29" x14ac:dyDescent="0.3">
      <c r="A179" s="131" t="s">
        <v>434</v>
      </c>
      <c r="B179" s="115">
        <v>1995</v>
      </c>
      <c r="C179" s="115">
        <v>11558</v>
      </c>
      <c r="D179" s="115"/>
      <c r="E179" s="115"/>
      <c r="F179" s="115">
        <v>18</v>
      </c>
      <c r="G179" s="115">
        <v>183</v>
      </c>
      <c r="H179" s="115">
        <v>171.3</v>
      </c>
      <c r="I179" s="115">
        <v>28.7</v>
      </c>
      <c r="J179" s="115">
        <v>7.4160000000000004</v>
      </c>
      <c r="K179" s="115">
        <v>8.91</v>
      </c>
      <c r="L179" s="115">
        <f t="shared" si="0"/>
        <v>1.4939999999999998</v>
      </c>
      <c r="M179" s="115">
        <v>32534</v>
      </c>
      <c r="N179" s="115"/>
      <c r="O179" s="115">
        <v>3050</v>
      </c>
      <c r="P179" s="115"/>
      <c r="Q179" s="115"/>
      <c r="R179" s="115"/>
      <c r="S179" s="115"/>
      <c r="T179" s="115"/>
      <c r="U179" s="115"/>
      <c r="V179" s="115">
        <v>23040</v>
      </c>
      <c r="W179" s="115"/>
      <c r="X179" s="115"/>
      <c r="Y179" s="115">
        <f t="shared" si="1"/>
        <v>0.22589041407196736</v>
      </c>
      <c r="Z179" s="115">
        <f t="shared" si="2"/>
        <v>5.9358011226817782</v>
      </c>
      <c r="AA179" s="115">
        <f t="shared" si="3"/>
        <v>0.65921196780583846</v>
      </c>
      <c r="AB179" s="115">
        <f t="shared" si="4"/>
        <v>3.8700107874865153</v>
      </c>
      <c r="AC179" s="132">
        <f t="shared" si="5"/>
        <v>5.9686411149825789</v>
      </c>
    </row>
    <row r="180" spans="1:29" x14ac:dyDescent="0.3">
      <c r="A180" s="131" t="s">
        <v>435</v>
      </c>
      <c r="B180" s="115">
        <v>2007</v>
      </c>
      <c r="C180" s="115">
        <v>10466</v>
      </c>
      <c r="D180" s="115"/>
      <c r="E180" s="115"/>
      <c r="F180" s="115">
        <v>22</v>
      </c>
      <c r="G180" s="115">
        <v>212</v>
      </c>
      <c r="H180" s="115">
        <v>194.8</v>
      </c>
      <c r="I180" s="115">
        <v>31.6</v>
      </c>
      <c r="J180" s="115">
        <v>6.3</v>
      </c>
      <c r="K180" s="115">
        <v>15.5</v>
      </c>
      <c r="L180" s="115">
        <f t="shared" si="0"/>
        <v>9.1999999999999993</v>
      </c>
      <c r="M180" s="115">
        <v>26663</v>
      </c>
      <c r="N180" s="115"/>
      <c r="O180" s="115">
        <v>3100</v>
      </c>
      <c r="P180" s="115"/>
      <c r="Q180" s="115"/>
      <c r="R180" s="115">
        <v>300</v>
      </c>
      <c r="S180" s="115"/>
      <c r="T180" s="115"/>
      <c r="U180" s="115"/>
      <c r="V180" s="115">
        <v>21600</v>
      </c>
      <c r="W180" s="115"/>
      <c r="X180" s="115"/>
      <c r="Y180" s="115">
        <f t="shared" si="1"/>
        <v>0.25890007869319276</v>
      </c>
      <c r="Z180" s="115">
        <f t="shared" si="2"/>
        <v>6.7955081777252841</v>
      </c>
      <c r="AA180" s="115">
        <f t="shared" si="3"/>
        <v>0.6074135204798472</v>
      </c>
      <c r="AB180" s="115">
        <f t="shared" si="4"/>
        <v>5.0158730158730158</v>
      </c>
      <c r="AC180" s="132">
        <f t="shared" si="5"/>
        <v>6.1645569620253164</v>
      </c>
    </row>
    <row r="181" spans="1:29" x14ac:dyDescent="0.3">
      <c r="A181" s="131" t="s">
        <v>436</v>
      </c>
      <c r="B181" s="115">
        <v>1992</v>
      </c>
      <c r="C181" s="115">
        <v>7324</v>
      </c>
      <c r="D181" s="115"/>
      <c r="E181" s="115"/>
      <c r="F181" s="115">
        <v>18.5</v>
      </c>
      <c r="G181" s="115">
        <v>150.4</v>
      </c>
      <c r="H181" s="115">
        <v>137.30000000000001</v>
      </c>
      <c r="I181" s="115">
        <v>23.4</v>
      </c>
      <c r="J181" s="115">
        <v>6</v>
      </c>
      <c r="K181" s="115"/>
      <c r="L181" s="115"/>
      <c r="M181" s="115">
        <v>14398</v>
      </c>
      <c r="N181" s="115"/>
      <c r="O181" s="115">
        <v>1650</v>
      </c>
      <c r="P181" s="115"/>
      <c r="Q181" s="115"/>
      <c r="R181" s="115">
        <v>125</v>
      </c>
      <c r="S181" s="115"/>
      <c r="T181" s="115"/>
      <c r="U181" s="115"/>
      <c r="V181" s="115">
        <v>11520</v>
      </c>
      <c r="W181" s="115"/>
      <c r="X181" s="115"/>
      <c r="Y181" s="115">
        <f t="shared" si="1"/>
        <v>0.25932264205532979</v>
      </c>
      <c r="Z181" s="115">
        <f t="shared" si="2"/>
        <v>6.0483672761742238</v>
      </c>
      <c r="AA181" s="115">
        <f t="shared" si="3"/>
        <v>0.60681946264640629</v>
      </c>
      <c r="AB181" s="115">
        <f t="shared" si="4"/>
        <v>3.9</v>
      </c>
      <c r="AC181" s="132">
        <f t="shared" si="5"/>
        <v>5.867521367521368</v>
      </c>
    </row>
    <row r="182" spans="1:29" x14ac:dyDescent="0.3">
      <c r="A182" s="131" t="s">
        <v>437</v>
      </c>
      <c r="B182" s="115">
        <v>1990</v>
      </c>
      <c r="C182" s="115">
        <v>10996</v>
      </c>
      <c r="D182" s="115"/>
      <c r="E182" s="115"/>
      <c r="F182" s="115">
        <v>20</v>
      </c>
      <c r="G182" s="115">
        <v>157.6</v>
      </c>
      <c r="H182" s="115">
        <v>146</v>
      </c>
      <c r="I182" s="115">
        <v>25.3</v>
      </c>
      <c r="J182" s="115">
        <v>8.3010000000000002</v>
      </c>
      <c r="K182" s="115">
        <v>17.600000000000001</v>
      </c>
      <c r="L182" s="115">
        <f t="shared" si="0"/>
        <v>9.2990000000000013</v>
      </c>
      <c r="M182" s="115">
        <v>24727</v>
      </c>
      <c r="N182" s="115"/>
      <c r="O182" s="115">
        <v>2100</v>
      </c>
      <c r="P182" s="115"/>
      <c r="Q182" s="115"/>
      <c r="R182" s="115">
        <v>84</v>
      </c>
      <c r="S182" s="115"/>
      <c r="T182" s="115"/>
      <c r="U182" s="115"/>
      <c r="V182" s="115">
        <v>14400</v>
      </c>
      <c r="W182" s="115"/>
      <c r="X182" s="115"/>
      <c r="Y182" s="115">
        <f t="shared" si="1"/>
        <v>0.27186765779186173</v>
      </c>
      <c r="Z182" s="115">
        <f t="shared" si="2"/>
        <v>5.5620537305934041</v>
      </c>
      <c r="AA182" s="115">
        <f t="shared" si="3"/>
        <v>0.58986039425525361</v>
      </c>
      <c r="AB182" s="115">
        <f t="shared" si="4"/>
        <v>3.0478255631851585</v>
      </c>
      <c r="AC182" s="132">
        <f t="shared" si="5"/>
        <v>5.770750988142292</v>
      </c>
    </row>
    <row r="183" spans="1:29" x14ac:dyDescent="0.3">
      <c r="A183" s="131" t="s">
        <v>438</v>
      </c>
      <c r="B183" s="115">
        <v>2002</v>
      </c>
      <c r="C183" s="115">
        <v>1200</v>
      </c>
      <c r="D183" s="115"/>
      <c r="E183" s="115"/>
      <c r="F183" s="115">
        <v>19</v>
      </c>
      <c r="G183" s="115">
        <v>112</v>
      </c>
      <c r="H183" s="115">
        <v>104.4</v>
      </c>
      <c r="I183" s="115">
        <v>18.5</v>
      </c>
      <c r="J183" s="115">
        <v>4.5</v>
      </c>
      <c r="K183" s="115"/>
      <c r="L183" s="115"/>
      <c r="M183" s="115">
        <v>8780</v>
      </c>
      <c r="N183" s="115"/>
      <c r="O183" s="115">
        <v>450</v>
      </c>
      <c r="P183" s="115"/>
      <c r="Q183" s="115"/>
      <c r="R183" s="115">
        <v>600</v>
      </c>
      <c r="S183" s="115"/>
      <c r="T183" s="115"/>
      <c r="U183" s="115"/>
      <c r="V183" s="115">
        <v>8640</v>
      </c>
      <c r="W183" s="115"/>
      <c r="X183" s="115"/>
      <c r="Y183" s="115">
        <f t="shared" si="1"/>
        <v>0.30542693185205927</v>
      </c>
      <c r="Z183" s="115">
        <f t="shared" si="2"/>
        <v>6.1972516184487425</v>
      </c>
      <c r="AA183" s="115">
        <f t="shared" si="3"/>
        <v>0.55007178162119597</v>
      </c>
      <c r="AB183" s="115">
        <f t="shared" si="4"/>
        <v>4.1111111111111107</v>
      </c>
      <c r="AC183" s="132">
        <f t="shared" si="5"/>
        <v>5.6432432432432433</v>
      </c>
    </row>
    <row r="184" spans="1:29" x14ac:dyDescent="0.3">
      <c r="A184" s="131" t="s">
        <v>439</v>
      </c>
      <c r="B184" s="115">
        <v>2000</v>
      </c>
      <c r="C184" s="115">
        <v>4275</v>
      </c>
      <c r="D184" s="115"/>
      <c r="E184" s="115"/>
      <c r="F184" s="115">
        <v>22.5</v>
      </c>
      <c r="G184" s="115">
        <v>159.5</v>
      </c>
      <c r="H184" s="115">
        <v>148</v>
      </c>
      <c r="I184" s="115">
        <v>25.7</v>
      </c>
      <c r="J184" s="115">
        <v>5.5</v>
      </c>
      <c r="K184" s="115"/>
      <c r="L184" s="115"/>
      <c r="M184" s="115">
        <v>20646</v>
      </c>
      <c r="N184" s="115"/>
      <c r="O184" s="115">
        <v>1771</v>
      </c>
      <c r="P184" s="115">
        <v>375</v>
      </c>
      <c r="Q184" s="115"/>
      <c r="R184" s="115">
        <v>410</v>
      </c>
      <c r="S184" s="115"/>
      <c r="T184" s="115"/>
      <c r="U184" s="115"/>
      <c r="V184" s="115"/>
      <c r="W184" s="115"/>
      <c r="X184" s="115"/>
      <c r="Y184" s="115">
        <f t="shared" si="1"/>
        <v>0.30377752422552856</v>
      </c>
      <c r="Z184" s="115">
        <f t="shared" si="2"/>
        <v>6.5483579684856128</v>
      </c>
      <c r="AA184" s="115">
        <f t="shared" si="3"/>
        <v>0.55186186103869694</v>
      </c>
      <c r="AB184" s="115">
        <f t="shared" si="4"/>
        <v>4.6727272727272728</v>
      </c>
      <c r="AC184" s="132">
        <f t="shared" si="5"/>
        <v>5.7587548638132295</v>
      </c>
    </row>
    <row r="185" spans="1:29" x14ac:dyDescent="0.3">
      <c r="A185" s="131" t="s">
        <v>440</v>
      </c>
      <c r="B185" s="115">
        <v>2004</v>
      </c>
      <c r="C185" s="115">
        <v>2900</v>
      </c>
      <c r="D185" s="115"/>
      <c r="E185" s="115"/>
      <c r="F185" s="115">
        <v>22</v>
      </c>
      <c r="G185" s="115">
        <v>147</v>
      </c>
      <c r="H185" s="115">
        <v>130</v>
      </c>
      <c r="I185" s="115">
        <v>24</v>
      </c>
      <c r="J185" s="115">
        <v>6</v>
      </c>
      <c r="K185" s="115">
        <v>14.65</v>
      </c>
      <c r="L185" s="115">
        <f t="shared" si="0"/>
        <v>8.65</v>
      </c>
      <c r="M185" s="115">
        <v>20124</v>
      </c>
      <c r="N185" s="115"/>
      <c r="O185" s="115">
        <v>1350</v>
      </c>
      <c r="P185" s="115"/>
      <c r="Q185" s="115"/>
      <c r="R185" s="115">
        <v>1300</v>
      </c>
      <c r="S185" s="115"/>
      <c r="T185" s="115"/>
      <c r="U185" s="115"/>
      <c r="V185" s="115">
        <v>33200</v>
      </c>
      <c r="W185" s="115"/>
      <c r="X185" s="115"/>
      <c r="Y185" s="115">
        <f t="shared" si="1"/>
        <v>0.31692389338259974</v>
      </c>
      <c r="Z185" s="115">
        <f t="shared" si="2"/>
        <v>6.019741090623282</v>
      </c>
      <c r="AA185" s="115">
        <f t="shared" si="3"/>
        <v>0.53801052853399423</v>
      </c>
      <c r="AB185" s="115">
        <f t="shared" si="4"/>
        <v>4</v>
      </c>
      <c r="AC185" s="132">
        <f t="shared" si="5"/>
        <v>5.416666666666667</v>
      </c>
    </row>
    <row r="186" spans="1:29" x14ac:dyDescent="0.3">
      <c r="A186" s="131" t="s">
        <v>441</v>
      </c>
      <c r="B186" s="115">
        <v>2001</v>
      </c>
      <c r="C186" s="115">
        <v>6705</v>
      </c>
      <c r="D186" s="115"/>
      <c r="E186" s="115"/>
      <c r="F186" s="115">
        <v>18.5</v>
      </c>
      <c r="G186" s="115">
        <v>190</v>
      </c>
      <c r="H186" s="115">
        <v>175</v>
      </c>
      <c r="I186" s="115">
        <v>29.5</v>
      </c>
      <c r="J186" s="115">
        <v>6.2</v>
      </c>
      <c r="K186" s="115">
        <v>9.1999999999999993</v>
      </c>
      <c r="L186" s="115">
        <f t="shared" si="0"/>
        <v>2.9999999999999991</v>
      </c>
      <c r="M186" s="115">
        <v>36468</v>
      </c>
      <c r="N186" s="115"/>
      <c r="O186" s="115">
        <v>2613</v>
      </c>
      <c r="P186" s="115"/>
      <c r="Q186" s="115"/>
      <c r="R186" s="115">
        <v>800</v>
      </c>
      <c r="S186" s="115"/>
      <c r="T186" s="115"/>
      <c r="U186" s="115"/>
      <c r="V186" s="115">
        <v>22000</v>
      </c>
      <c r="W186" s="115"/>
      <c r="X186" s="115"/>
      <c r="Y186" s="115">
        <f t="shared" si="1"/>
        <v>0.2296977187188792</v>
      </c>
      <c r="Z186" s="115">
        <f t="shared" si="2"/>
        <v>6.3542487520012587</v>
      </c>
      <c r="AA186" s="115">
        <f t="shared" si="3"/>
        <v>0.65263408970041348</v>
      </c>
      <c r="AB186" s="115">
        <f t="shared" si="4"/>
        <v>4.758064516129032</v>
      </c>
      <c r="AC186" s="132">
        <f t="shared" si="5"/>
        <v>5.9322033898305087</v>
      </c>
    </row>
    <row r="187" spans="1:29" x14ac:dyDescent="0.3">
      <c r="A187" s="131" t="s">
        <v>442</v>
      </c>
      <c r="B187" s="115">
        <v>2001</v>
      </c>
      <c r="C187" s="115">
        <v>5700</v>
      </c>
      <c r="D187" s="115"/>
      <c r="E187" s="115"/>
      <c r="F187" s="115">
        <v>25</v>
      </c>
      <c r="G187" s="115">
        <v>185.8</v>
      </c>
      <c r="H187" s="115">
        <v>170.1</v>
      </c>
      <c r="I187" s="115">
        <v>28.3</v>
      </c>
      <c r="J187" s="115">
        <v>6.5</v>
      </c>
      <c r="K187" s="115">
        <v>9.5</v>
      </c>
      <c r="L187" s="115">
        <f t="shared" si="0"/>
        <v>3</v>
      </c>
      <c r="M187" s="115">
        <v>33796</v>
      </c>
      <c r="N187" s="115"/>
      <c r="O187" s="115">
        <v>2000</v>
      </c>
      <c r="P187" s="115"/>
      <c r="Q187" s="115"/>
      <c r="R187" s="115">
        <v>1900</v>
      </c>
      <c r="S187" s="115"/>
      <c r="T187" s="115"/>
      <c r="U187" s="115"/>
      <c r="V187" s="115">
        <v>23400</v>
      </c>
      <c r="W187" s="115"/>
      <c r="X187" s="115"/>
      <c r="Y187" s="115">
        <f t="shared" si="1"/>
        <v>0.31484139627078772</v>
      </c>
      <c r="Z187" s="115">
        <f t="shared" si="2"/>
        <v>6.6282679445870567</v>
      </c>
      <c r="AA187" s="115">
        <f t="shared" si="3"/>
        <v>0.54014289315872366</v>
      </c>
      <c r="AB187" s="115">
        <f t="shared" si="4"/>
        <v>4.3538461538461544</v>
      </c>
      <c r="AC187" s="132">
        <f t="shared" si="5"/>
        <v>6.010600706713781</v>
      </c>
    </row>
    <row r="188" spans="1:29" x14ac:dyDescent="0.3">
      <c r="A188" s="131" t="s">
        <v>443</v>
      </c>
      <c r="B188" s="115">
        <v>1999</v>
      </c>
      <c r="C188" s="115">
        <v>8383</v>
      </c>
      <c r="D188" s="115"/>
      <c r="E188" s="115"/>
      <c r="F188" s="115">
        <v>20.5</v>
      </c>
      <c r="G188" s="115">
        <v>188</v>
      </c>
      <c r="H188" s="115">
        <v>170</v>
      </c>
      <c r="I188" s="115">
        <v>28.7</v>
      </c>
      <c r="J188" s="115">
        <v>6.2140000000000004</v>
      </c>
      <c r="K188" s="115">
        <v>9</v>
      </c>
      <c r="L188" s="115">
        <f t="shared" si="0"/>
        <v>2.7859999999999996</v>
      </c>
      <c r="M188" s="115">
        <v>29841</v>
      </c>
      <c r="N188" s="115"/>
      <c r="O188" s="115">
        <v>2500</v>
      </c>
      <c r="P188" s="115"/>
      <c r="Q188" s="115"/>
      <c r="R188" s="115">
        <v>454</v>
      </c>
      <c r="S188" s="115"/>
      <c r="T188" s="115"/>
      <c r="U188" s="115"/>
      <c r="V188" s="115">
        <v>23040</v>
      </c>
      <c r="W188" s="115"/>
      <c r="X188" s="115"/>
      <c r="Y188" s="115">
        <f t="shared" si="1"/>
        <v>0.25824586611555655</v>
      </c>
      <c r="Z188" s="115">
        <f t="shared" si="2"/>
        <v>6.4342853903730601</v>
      </c>
      <c r="AA188" s="115">
        <f t="shared" si="3"/>
        <v>0.60833630729635135</v>
      </c>
      <c r="AB188" s="115">
        <f t="shared" si="4"/>
        <v>4.6186031541680075</v>
      </c>
      <c r="AC188" s="132">
        <f t="shared" si="5"/>
        <v>5.9233449477351918</v>
      </c>
    </row>
    <row r="189" spans="1:29" x14ac:dyDescent="0.3">
      <c r="A189" s="131" t="s">
        <v>444</v>
      </c>
      <c r="B189" s="115">
        <v>1995</v>
      </c>
      <c r="C189" s="115">
        <v>5794</v>
      </c>
      <c r="D189" s="115"/>
      <c r="E189" s="115"/>
      <c r="F189" s="115">
        <v>19</v>
      </c>
      <c r="G189" s="115">
        <v>181.6</v>
      </c>
      <c r="H189" s="115">
        <v>173.5</v>
      </c>
      <c r="I189" s="115">
        <v>23.9</v>
      </c>
      <c r="J189" s="115">
        <v>5.75</v>
      </c>
      <c r="K189" s="115">
        <v>8.6</v>
      </c>
      <c r="L189" s="115">
        <f t="shared" si="0"/>
        <v>2.8499999999999996</v>
      </c>
      <c r="M189" s="115">
        <v>22365</v>
      </c>
      <c r="N189" s="115"/>
      <c r="O189" s="115">
        <v>1810</v>
      </c>
      <c r="P189" s="115"/>
      <c r="Q189" s="115"/>
      <c r="R189" s="115">
        <v>1650</v>
      </c>
      <c r="S189" s="115"/>
      <c r="T189" s="115"/>
      <c r="U189" s="115"/>
      <c r="V189" s="115">
        <f>4*5760</f>
        <v>23040</v>
      </c>
      <c r="W189" s="115"/>
      <c r="X189" s="115"/>
      <c r="Y189" s="115">
        <f t="shared" si="1"/>
        <v>0.23692333609866176</v>
      </c>
      <c r="Z189" s="115">
        <f t="shared" si="2"/>
        <v>6.9926971138868339</v>
      </c>
      <c r="AA189" s="115">
        <f t="shared" si="3"/>
        <v>0.64061788692632415</v>
      </c>
      <c r="AB189" s="115">
        <f t="shared" si="4"/>
        <v>4.1565217391304348</v>
      </c>
      <c r="AC189" s="132">
        <f t="shared" si="5"/>
        <v>7.2594142259414234</v>
      </c>
    </row>
    <row r="190" spans="1:29" x14ac:dyDescent="0.3">
      <c r="A190" s="131" t="s">
        <v>445</v>
      </c>
      <c r="B190" s="115">
        <v>1995</v>
      </c>
      <c r="C190" s="115">
        <v>11682</v>
      </c>
      <c r="D190" s="115"/>
      <c r="E190" s="115"/>
      <c r="F190" s="115">
        <v>18</v>
      </c>
      <c r="G190" s="115">
        <v>183</v>
      </c>
      <c r="H190" s="115">
        <v>171.3</v>
      </c>
      <c r="I190" s="115">
        <v>28.7</v>
      </c>
      <c r="J190" s="115">
        <v>7.4</v>
      </c>
      <c r="K190" s="115">
        <v>8.5</v>
      </c>
      <c r="L190" s="115">
        <f t="shared" si="0"/>
        <v>1.0999999999999996</v>
      </c>
      <c r="M190" s="115">
        <v>32534</v>
      </c>
      <c r="N190" s="115"/>
      <c r="O190" s="115">
        <v>3380</v>
      </c>
      <c r="P190" s="115"/>
      <c r="Q190" s="115"/>
      <c r="R190" s="115">
        <v>90</v>
      </c>
      <c r="S190" s="115"/>
      <c r="T190" s="115"/>
      <c r="U190" s="115"/>
      <c r="V190" s="115">
        <v>23040</v>
      </c>
      <c r="W190" s="115"/>
      <c r="X190" s="115"/>
      <c r="Y190" s="115">
        <f t="shared" si="1"/>
        <v>0.22589041407196736</v>
      </c>
      <c r="Z190" s="115">
        <f t="shared" si="2"/>
        <v>5.9400760979604996</v>
      </c>
      <c r="AA190" s="115">
        <f t="shared" si="3"/>
        <v>0.65921196780583846</v>
      </c>
      <c r="AB190" s="115">
        <f t="shared" si="4"/>
        <v>3.8783783783783781</v>
      </c>
      <c r="AC190" s="132">
        <f t="shared" si="5"/>
        <v>5.9686411149825789</v>
      </c>
    </row>
    <row r="191" spans="1:29" x14ac:dyDescent="0.3">
      <c r="A191" s="131" t="s">
        <v>446</v>
      </c>
      <c r="B191" s="115">
        <v>2007</v>
      </c>
      <c r="C191" s="115">
        <v>4700</v>
      </c>
      <c r="D191" s="115"/>
      <c r="E191" s="115"/>
      <c r="F191" s="115">
        <v>27</v>
      </c>
      <c r="G191" s="115">
        <v>185</v>
      </c>
      <c r="H191" s="115">
        <v>170</v>
      </c>
      <c r="I191" s="115">
        <v>27.7</v>
      </c>
      <c r="J191" s="115">
        <v>6.5</v>
      </c>
      <c r="K191" s="115">
        <v>9.5</v>
      </c>
      <c r="L191" s="115">
        <f t="shared" si="0"/>
        <v>3</v>
      </c>
      <c r="M191" s="115">
        <v>35700</v>
      </c>
      <c r="N191" s="115"/>
      <c r="O191" s="115">
        <v>2000</v>
      </c>
      <c r="P191" s="115"/>
      <c r="Q191" s="115"/>
      <c r="R191" s="115">
        <v>1900</v>
      </c>
      <c r="S191" s="115"/>
      <c r="T191" s="115"/>
      <c r="U191" s="115"/>
      <c r="V191" s="115">
        <f>4*12000</f>
        <v>48000</v>
      </c>
      <c r="W191" s="115"/>
      <c r="X191" s="115"/>
      <c r="Y191" s="115">
        <f t="shared" si="1"/>
        <v>0.34012870171317205</v>
      </c>
      <c r="Z191" s="115">
        <f t="shared" si="2"/>
        <v>6.7770752395729223</v>
      </c>
      <c r="AA191" s="115">
        <f t="shared" si="3"/>
        <v>0.51567704003610981</v>
      </c>
      <c r="AB191" s="115">
        <f t="shared" si="4"/>
        <v>4.2615384615384615</v>
      </c>
      <c r="AC191" s="132">
        <f t="shared" si="5"/>
        <v>6.1371841155234659</v>
      </c>
    </row>
    <row r="192" spans="1:29" x14ac:dyDescent="0.3">
      <c r="A192" s="131" t="s">
        <v>133</v>
      </c>
      <c r="B192" s="115">
        <v>2006</v>
      </c>
      <c r="C192" s="115">
        <v>4850</v>
      </c>
      <c r="D192" s="115"/>
      <c r="E192" s="115"/>
      <c r="F192" s="115">
        <v>22</v>
      </c>
      <c r="G192" s="115">
        <v>212.1</v>
      </c>
      <c r="H192" s="115">
        <v>194.4</v>
      </c>
      <c r="I192" s="115">
        <v>35.200000000000003</v>
      </c>
      <c r="J192" s="115">
        <v>6.4</v>
      </c>
      <c r="K192" s="115">
        <v>9.6999999999999993</v>
      </c>
      <c r="L192" s="115">
        <f t="shared" si="0"/>
        <v>3.2999999999999989</v>
      </c>
      <c r="M192" s="115">
        <v>48300</v>
      </c>
      <c r="N192" s="115"/>
      <c r="O192" s="115">
        <v>1030</v>
      </c>
      <c r="P192" s="115"/>
      <c r="Q192" s="115"/>
      <c r="R192" s="115">
        <v>2800</v>
      </c>
      <c r="S192" s="115"/>
      <c r="T192" s="115"/>
      <c r="U192" s="115"/>
      <c r="V192" s="115">
        <v>26240</v>
      </c>
      <c r="W192" s="115"/>
      <c r="X192" s="115"/>
      <c r="Y192" s="115">
        <f t="shared" si="1"/>
        <v>0.2591662999241392</v>
      </c>
      <c r="Z192" s="115">
        <f t="shared" si="2"/>
        <v>6.5135499139914943</v>
      </c>
      <c r="AA192" s="115">
        <f t="shared" si="3"/>
        <v>0.60703907454434758</v>
      </c>
      <c r="AB192" s="115">
        <f t="shared" si="4"/>
        <v>5.5</v>
      </c>
      <c r="AC192" s="132">
        <f t="shared" si="5"/>
        <v>5.5227272727272725</v>
      </c>
    </row>
    <row r="193" spans="1:29" x14ac:dyDescent="0.3">
      <c r="A193" s="131" t="s">
        <v>447</v>
      </c>
      <c r="B193" s="115">
        <v>1988</v>
      </c>
      <c r="C193" s="115">
        <v>8900</v>
      </c>
      <c r="D193" s="115"/>
      <c r="E193" s="115"/>
      <c r="F193" s="115">
        <v>20</v>
      </c>
      <c r="G193" s="115">
        <v>177.2</v>
      </c>
      <c r="H193" s="115">
        <v>165</v>
      </c>
      <c r="I193" s="115">
        <v>26.5</v>
      </c>
      <c r="J193" s="115">
        <v>5.7</v>
      </c>
      <c r="K193" s="115"/>
      <c r="L193" s="115"/>
      <c r="M193" s="115">
        <v>24728</v>
      </c>
      <c r="N193" s="115"/>
      <c r="O193" s="115">
        <v>2000</v>
      </c>
      <c r="P193" s="115"/>
      <c r="Q193" s="115"/>
      <c r="R193" s="115"/>
      <c r="S193" s="115"/>
      <c r="T193" s="115"/>
      <c r="U193" s="115"/>
      <c r="V193" s="115">
        <v>14810</v>
      </c>
      <c r="W193" s="115"/>
      <c r="X193" s="115"/>
      <c r="Y193" s="115">
        <f t="shared" si="1"/>
        <v>0.255736078557942</v>
      </c>
      <c r="Z193" s="115">
        <f t="shared" si="2"/>
        <v>6.6535414254707943</v>
      </c>
      <c r="AA193" s="115">
        <f t="shared" si="3"/>
        <v>0.61191142683969124</v>
      </c>
      <c r="AB193" s="115">
        <f t="shared" si="4"/>
        <v>4.6491228070175437</v>
      </c>
      <c r="AC193" s="132">
        <f t="shared" si="5"/>
        <v>6.2264150943396226</v>
      </c>
    </row>
    <row r="194" spans="1:29" x14ac:dyDescent="0.3">
      <c r="A194" s="131" t="s">
        <v>448</v>
      </c>
      <c r="B194" s="115">
        <v>2010</v>
      </c>
      <c r="C194" s="115">
        <v>9500</v>
      </c>
      <c r="D194" s="115"/>
      <c r="E194" s="115"/>
      <c r="F194" s="115">
        <v>22</v>
      </c>
      <c r="G194" s="115">
        <v>212</v>
      </c>
      <c r="H194" s="115">
        <v>197.9</v>
      </c>
      <c r="I194" s="115">
        <v>30.8</v>
      </c>
      <c r="J194" s="115">
        <v>6.5</v>
      </c>
      <c r="K194" s="115"/>
      <c r="L194" s="115"/>
      <c r="M194" s="115">
        <v>47592</v>
      </c>
      <c r="N194" s="115"/>
      <c r="O194" s="115">
        <v>3746</v>
      </c>
      <c r="P194" s="115"/>
      <c r="Q194" s="115"/>
      <c r="R194" s="115">
        <v>1750</v>
      </c>
      <c r="S194" s="115"/>
      <c r="T194" s="115"/>
      <c r="U194" s="115"/>
      <c r="V194" s="115"/>
      <c r="W194" s="115"/>
      <c r="X194" s="115"/>
      <c r="Y194" s="115">
        <f t="shared" si="1"/>
        <v>0.25686430773874885</v>
      </c>
      <c r="Z194" s="115">
        <f t="shared" si="2"/>
        <v>6.8437689022030046</v>
      </c>
      <c r="AA194" s="115">
        <f t="shared" si="3"/>
        <v>0.61029738232609021</v>
      </c>
      <c r="AB194" s="115">
        <f t="shared" si="4"/>
        <v>4.7384615384615385</v>
      </c>
      <c r="AC194" s="132">
        <f t="shared" si="5"/>
        <v>6.4253246753246751</v>
      </c>
    </row>
    <row r="195" spans="1:29" x14ac:dyDescent="0.3">
      <c r="A195" s="131" t="s">
        <v>449</v>
      </c>
      <c r="B195" s="115">
        <v>1996</v>
      </c>
      <c r="C195" s="115">
        <v>7800</v>
      </c>
      <c r="D195" s="115"/>
      <c r="E195" s="115"/>
      <c r="F195" s="115">
        <v>18</v>
      </c>
      <c r="G195" s="115">
        <v>199</v>
      </c>
      <c r="H195" s="115">
        <v>185</v>
      </c>
      <c r="I195" s="115">
        <v>28.9</v>
      </c>
      <c r="J195" s="115"/>
      <c r="K195" s="115"/>
      <c r="L195" s="115"/>
      <c r="M195" s="115">
        <v>36185</v>
      </c>
      <c r="N195" s="115"/>
      <c r="O195" s="115">
        <v>5138</v>
      </c>
      <c r="P195" s="115"/>
      <c r="Q195" s="115"/>
      <c r="R195" s="115">
        <v>900</v>
      </c>
      <c r="S195" s="115"/>
      <c r="T195" s="115"/>
      <c r="U195" s="115"/>
      <c r="V195" s="115">
        <v>25200</v>
      </c>
      <c r="W195" s="115"/>
      <c r="X195" s="115"/>
      <c r="Y195" s="115">
        <f t="shared" si="1"/>
        <v>0.21736550214555872</v>
      </c>
      <c r="Z195" s="115"/>
      <c r="AA195" s="115">
        <f t="shared" si="3"/>
        <v>0.67460474702353224</v>
      </c>
      <c r="AB195" s="115" t="e">
        <f t="shared" si="4"/>
        <v>#DIV/0!</v>
      </c>
      <c r="AC195" s="132">
        <f t="shared" si="5"/>
        <v>6.4013840830449826</v>
      </c>
    </row>
    <row r="196" spans="1:29" x14ac:dyDescent="0.3">
      <c r="A196" s="131" t="s">
        <v>450</v>
      </c>
      <c r="B196" s="115">
        <v>2005</v>
      </c>
      <c r="C196" s="115">
        <v>1000</v>
      </c>
      <c r="D196" s="115"/>
      <c r="E196" s="115"/>
      <c r="F196" s="115">
        <v>40</v>
      </c>
      <c r="G196" s="115">
        <v>126.7</v>
      </c>
      <c r="H196" s="115">
        <v>114.8</v>
      </c>
      <c r="I196" s="115">
        <v>30.4</v>
      </c>
      <c r="J196" s="115">
        <v>4.2</v>
      </c>
      <c r="K196" s="115">
        <v>8.1999999999999993</v>
      </c>
      <c r="L196" s="115">
        <f t="shared" si="0"/>
        <v>3.9999999999999991</v>
      </c>
      <c r="M196" s="115">
        <v>8089</v>
      </c>
      <c r="N196" s="115"/>
      <c r="O196" s="115">
        <v>450</v>
      </c>
      <c r="P196" s="115"/>
      <c r="Q196" s="115"/>
      <c r="R196" s="115">
        <v>1350</v>
      </c>
      <c r="S196" s="115"/>
      <c r="T196" s="115"/>
      <c r="U196" s="115"/>
      <c r="V196" s="115">
        <v>32800</v>
      </c>
      <c r="W196" s="115"/>
      <c r="X196" s="115"/>
      <c r="Y196" s="115">
        <f t="shared" si="1"/>
        <v>0.61318712178791746</v>
      </c>
      <c r="Z196" s="115">
        <f t="shared" si="2"/>
        <v>6.5813903642895992</v>
      </c>
      <c r="AA196" s="115">
        <f t="shared" si="3"/>
        <v>0.36208284502814742</v>
      </c>
      <c r="AB196" s="115">
        <f t="shared" si="4"/>
        <v>7.2380952380952372</v>
      </c>
      <c r="AC196" s="132">
        <f t="shared" si="5"/>
        <v>3.7763157894736845</v>
      </c>
    </row>
    <row r="197" spans="1:29" x14ac:dyDescent="0.3">
      <c r="A197" s="131" t="s">
        <v>451</v>
      </c>
      <c r="B197" s="115">
        <v>2007</v>
      </c>
      <c r="C197" s="115">
        <v>936</v>
      </c>
      <c r="D197" s="115"/>
      <c r="E197" s="115"/>
      <c r="F197" s="115">
        <v>37</v>
      </c>
      <c r="G197" s="115">
        <v>106.3</v>
      </c>
      <c r="H197" s="115">
        <v>92.4</v>
      </c>
      <c r="I197" s="115">
        <v>23.8</v>
      </c>
      <c r="J197" s="115">
        <v>3.65</v>
      </c>
      <c r="K197" s="115">
        <v>9.4</v>
      </c>
      <c r="L197" s="115">
        <f t="shared" si="0"/>
        <v>5.75</v>
      </c>
      <c r="M197" s="115">
        <v>8127</v>
      </c>
      <c r="N197" s="115"/>
      <c r="O197" s="115">
        <v>342</v>
      </c>
      <c r="P197" s="115"/>
      <c r="Q197" s="115"/>
      <c r="R197" s="115">
        <v>866</v>
      </c>
      <c r="S197" s="115"/>
      <c r="T197" s="115"/>
      <c r="U197" s="115"/>
      <c r="V197" s="115">
        <f>4*8200</f>
        <v>32800</v>
      </c>
      <c r="W197" s="115"/>
      <c r="X197" s="115"/>
      <c r="Y197" s="115">
        <f t="shared" si="1"/>
        <v>0.63222216310418244</v>
      </c>
      <c r="Z197" s="115">
        <f t="shared" si="2"/>
        <v>6.5144446061410193</v>
      </c>
      <c r="AA197" s="115">
        <f t="shared" si="3"/>
        <v>0.35550190668629916</v>
      </c>
      <c r="AB197" s="115">
        <f t="shared" si="4"/>
        <v>6.5205479452054798</v>
      </c>
      <c r="AC197" s="132">
        <f t="shared" si="5"/>
        <v>3.8823529411764706</v>
      </c>
    </row>
    <row r="198" spans="1:29" x14ac:dyDescent="0.3">
      <c r="A198" s="131" t="s">
        <v>452</v>
      </c>
      <c r="B198" s="115">
        <v>1976</v>
      </c>
      <c r="C198" s="115">
        <v>2402</v>
      </c>
      <c r="D198" s="115"/>
      <c r="E198" s="115"/>
      <c r="F198" s="115"/>
      <c r="G198" s="115">
        <f>1.0496*H198+5.918</f>
        <v>146.55390400000002</v>
      </c>
      <c r="H198" s="115">
        <v>133.99</v>
      </c>
      <c r="I198" s="115">
        <v>21.8</v>
      </c>
      <c r="J198" s="115">
        <v>5.92</v>
      </c>
      <c r="K198" s="115">
        <v>16.3</v>
      </c>
      <c r="L198" s="115">
        <f>SUM(K198-J198)</f>
        <v>10.38</v>
      </c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 t="e">
        <f t="shared" si="3"/>
        <v>#DIV/0!</v>
      </c>
      <c r="AB198" s="115">
        <f t="shared" si="4"/>
        <v>3.6824324324324325</v>
      </c>
      <c r="AC198" s="132">
        <f t="shared" si="5"/>
        <v>6.1463302752293583</v>
      </c>
    </row>
    <row r="199" spans="1:29" x14ac:dyDescent="0.3">
      <c r="A199" s="131" t="s">
        <v>453</v>
      </c>
      <c r="B199" s="115">
        <v>2008</v>
      </c>
      <c r="C199" s="115"/>
      <c r="D199" s="115"/>
      <c r="E199" s="115"/>
      <c r="F199" s="115">
        <v>27</v>
      </c>
      <c r="G199" s="115">
        <v>211.3</v>
      </c>
      <c r="H199" s="115">
        <f>(G199-5.9178)/1.0496</f>
        <v>195.6766387195122</v>
      </c>
      <c r="I199" s="115">
        <v>25.8</v>
      </c>
      <c r="J199" s="115">
        <v>6.5</v>
      </c>
      <c r="K199" s="115"/>
      <c r="L199" s="115"/>
      <c r="M199" s="115">
        <v>33500</v>
      </c>
      <c r="N199" s="115"/>
      <c r="O199" s="115">
        <v>2000</v>
      </c>
      <c r="P199" s="115">
        <v>764</v>
      </c>
      <c r="Q199" s="115"/>
      <c r="R199" s="115">
        <v>1929</v>
      </c>
      <c r="S199" s="115"/>
      <c r="T199" s="115"/>
      <c r="U199" s="115"/>
      <c r="V199" s="115">
        <v>38400</v>
      </c>
      <c r="W199" s="115"/>
      <c r="X199" s="115"/>
      <c r="Y199" s="115">
        <f t="shared" si="1"/>
        <v>0.31702846087323122</v>
      </c>
      <c r="Z199" s="115">
        <f t="shared" si="2"/>
        <v>7.5153064527480149</v>
      </c>
      <c r="AA199" s="115">
        <f t="shared" si="3"/>
        <v>0.53790404827187843</v>
      </c>
      <c r="AB199" s="115">
        <f t="shared" si="4"/>
        <v>3.9692307692307693</v>
      </c>
      <c r="AC199" s="132">
        <f t="shared" si="5"/>
        <v>7.5843658418415583</v>
      </c>
    </row>
    <row r="200" spans="1:29" x14ac:dyDescent="0.3">
      <c r="A200" s="131" t="s">
        <v>454</v>
      </c>
      <c r="B200" s="115">
        <v>2015</v>
      </c>
      <c r="C200" s="115"/>
      <c r="D200" s="115"/>
      <c r="E200" s="115"/>
      <c r="F200" s="115">
        <v>21.7</v>
      </c>
      <c r="G200" s="115">
        <v>295</v>
      </c>
      <c r="H200" s="115">
        <f t="shared" ref="H200:H206" si="6">(G200-5.9178)/1.0496</f>
        <v>275.42130335365852</v>
      </c>
      <c r="I200" s="115">
        <v>36</v>
      </c>
      <c r="J200" s="115">
        <v>8.0500000000000007</v>
      </c>
      <c r="K200" s="115"/>
      <c r="L200" s="115"/>
      <c r="M200" s="115">
        <v>97000</v>
      </c>
      <c r="N200" s="115"/>
      <c r="O200" s="115"/>
      <c r="P200" s="115"/>
      <c r="Q200" s="115"/>
      <c r="R200" s="115">
        <v>2500</v>
      </c>
      <c r="S200" s="115"/>
      <c r="T200" s="115"/>
      <c r="U200" s="115"/>
      <c r="V200" s="115">
        <v>28000</v>
      </c>
      <c r="W200" s="115"/>
      <c r="X200" s="115"/>
      <c r="Y200" s="115">
        <f t="shared" si="1"/>
        <v>0.21476571251659318</v>
      </c>
      <c r="Z200" s="115">
        <f t="shared" si="2"/>
        <v>7.2761888162004897</v>
      </c>
      <c r="AA200" s="115">
        <f t="shared" si="3"/>
        <v>0.67949270081882385</v>
      </c>
      <c r="AB200" s="115">
        <f t="shared" si="4"/>
        <v>4.4720496894409933</v>
      </c>
      <c r="AC200" s="132">
        <f t="shared" si="5"/>
        <v>7.6505917598238478</v>
      </c>
    </row>
    <row r="201" spans="1:29" x14ac:dyDescent="0.3">
      <c r="A201" s="131" t="s">
        <v>455</v>
      </c>
      <c r="B201" s="115">
        <v>2014</v>
      </c>
      <c r="C201" s="115">
        <v>2412</v>
      </c>
      <c r="D201" s="115"/>
      <c r="E201" s="115"/>
      <c r="F201" s="115">
        <v>19</v>
      </c>
      <c r="G201" s="115">
        <v>134.4</v>
      </c>
      <c r="H201" s="115">
        <f t="shared" si="6"/>
        <v>122.41063262195121</v>
      </c>
      <c r="I201" s="115">
        <v>24</v>
      </c>
      <c r="J201" s="115">
        <v>5.6</v>
      </c>
      <c r="K201" s="115"/>
      <c r="L201" s="115"/>
      <c r="M201" s="115">
        <v>17851</v>
      </c>
      <c r="N201" s="115"/>
      <c r="O201" s="115"/>
      <c r="P201" s="115">
        <v>410</v>
      </c>
      <c r="Q201" s="115"/>
      <c r="R201" s="115">
        <v>1800</v>
      </c>
      <c r="S201" s="115"/>
      <c r="T201" s="115"/>
      <c r="U201" s="115"/>
      <c r="V201" s="115">
        <f>2*5760</f>
        <v>11520</v>
      </c>
      <c r="W201" s="115">
        <v>510</v>
      </c>
      <c r="X201" s="115"/>
      <c r="Y201" s="115">
        <f t="shared" si="1"/>
        <v>0.28206422551380111</v>
      </c>
      <c r="Z201" s="115">
        <f t="shared" si="2"/>
        <v>5.7813334490280095</v>
      </c>
      <c r="AA201" s="115">
        <f t="shared" si="3"/>
        <v>0.57697229476730383</v>
      </c>
      <c r="AB201" s="115">
        <f t="shared" si="4"/>
        <v>4.2857142857142856</v>
      </c>
      <c r="AC201" s="132">
        <f t="shared" si="5"/>
        <v>5.1004430259146334</v>
      </c>
    </row>
    <row r="202" spans="1:29" x14ac:dyDescent="0.3">
      <c r="A202" s="131" t="s">
        <v>456</v>
      </c>
      <c r="B202" s="115">
        <v>2012</v>
      </c>
      <c r="C202" s="115">
        <v>7598</v>
      </c>
      <c r="D202" s="115">
        <v>5209</v>
      </c>
      <c r="E202" s="115">
        <v>20222</v>
      </c>
      <c r="F202" s="115">
        <v>20.100000000000001</v>
      </c>
      <c r="G202" s="115">
        <v>187.71</v>
      </c>
      <c r="H202" s="115">
        <v>164</v>
      </c>
      <c r="I202" s="115">
        <v>28</v>
      </c>
      <c r="J202" s="115">
        <v>6.2</v>
      </c>
      <c r="K202" s="115">
        <v>9</v>
      </c>
      <c r="L202" s="115">
        <f>SUM(K202-J202)</f>
        <v>2.8</v>
      </c>
      <c r="M202" s="115">
        <v>34222</v>
      </c>
      <c r="N202" s="115"/>
      <c r="O202" s="115">
        <v>2500</v>
      </c>
      <c r="P202" s="115"/>
      <c r="Q202" s="115"/>
      <c r="R202" s="115">
        <v>2038</v>
      </c>
      <c r="S202" s="115"/>
      <c r="T202" s="115"/>
      <c r="U202" s="115"/>
      <c r="V202" s="115">
        <v>16000</v>
      </c>
      <c r="W202" s="115"/>
      <c r="X202" s="115"/>
      <c r="Y202" s="115">
        <f t="shared" si="1"/>
        <v>0.25779714967667977</v>
      </c>
      <c r="Z202" s="115">
        <f t="shared" si="2"/>
        <v>6.3364647899873718</v>
      </c>
      <c r="AA202" s="115">
        <f t="shared" si="3"/>
        <v>0.60897140094309954</v>
      </c>
      <c r="AB202" s="115">
        <f t="shared" si="4"/>
        <v>4.5161290322580641</v>
      </c>
      <c r="AC202" s="132">
        <f t="shared" si="5"/>
        <v>5.8571428571428568</v>
      </c>
    </row>
    <row r="203" spans="1:29" x14ac:dyDescent="0.3">
      <c r="A203" s="131" t="s">
        <v>457</v>
      </c>
      <c r="B203" s="115">
        <v>2014</v>
      </c>
      <c r="C203" s="115">
        <v>7900</v>
      </c>
      <c r="D203" s="115"/>
      <c r="E203" s="115"/>
      <c r="F203" s="115">
        <v>21.7</v>
      </c>
      <c r="G203" s="115">
        <v>293.2</v>
      </c>
      <c r="H203" s="115">
        <f t="shared" si="6"/>
        <v>273.70636432926824</v>
      </c>
      <c r="I203" s="115">
        <v>35.799999999999997</v>
      </c>
      <c r="J203" s="115">
        <v>8.0500000000000007</v>
      </c>
      <c r="K203" s="115"/>
      <c r="L203" s="115"/>
      <c r="M203" s="115">
        <v>99526</v>
      </c>
      <c r="N203" s="115"/>
      <c r="O203" s="115"/>
      <c r="P203" s="115"/>
      <c r="Q203" s="115"/>
      <c r="R203" s="115">
        <v>2506</v>
      </c>
      <c r="S203" s="115"/>
      <c r="T203" s="115"/>
      <c r="U203" s="115"/>
      <c r="V203" s="115">
        <f>2*14400+2*9600</f>
        <v>48000</v>
      </c>
      <c r="W203" s="115"/>
      <c r="X203" s="115"/>
      <c r="Y203" s="115">
        <f t="shared" si="1"/>
        <v>0.21543748165923737</v>
      </c>
      <c r="Z203" s="115">
        <f t="shared" si="2"/>
        <v>7.2639574737062826</v>
      </c>
      <c r="AA203" s="115">
        <f t="shared" si="3"/>
        <v>0.67822064554248707</v>
      </c>
      <c r="AB203" s="115">
        <f t="shared" si="4"/>
        <v>4.4472049689440984</v>
      </c>
      <c r="AC203" s="132">
        <f t="shared" si="5"/>
        <v>7.6454291712086109</v>
      </c>
    </row>
    <row r="204" spans="1:29" x14ac:dyDescent="0.3">
      <c r="A204" s="131" t="s">
        <v>458</v>
      </c>
      <c r="B204" s="115">
        <v>2005</v>
      </c>
      <c r="C204" s="115">
        <v>7178</v>
      </c>
      <c r="D204" s="115"/>
      <c r="E204" s="115"/>
      <c r="F204" s="115">
        <v>25</v>
      </c>
      <c r="G204" s="115">
        <v>186</v>
      </c>
      <c r="H204" s="115">
        <f t="shared" si="6"/>
        <v>171.57221798780486</v>
      </c>
      <c r="I204" s="115">
        <v>27.7</v>
      </c>
      <c r="J204" s="115">
        <v>6.5</v>
      </c>
      <c r="K204" s="115"/>
      <c r="L204" s="115"/>
      <c r="M204" s="115">
        <v>33796</v>
      </c>
      <c r="N204" s="115"/>
      <c r="O204" s="115">
        <v>2000</v>
      </c>
      <c r="P204" s="115"/>
      <c r="Q204" s="115"/>
      <c r="R204" s="115">
        <v>1900</v>
      </c>
      <c r="S204" s="115"/>
      <c r="T204" s="115"/>
      <c r="U204" s="115"/>
      <c r="V204" s="115">
        <f>2*11700+2*7800</f>
        <v>39000</v>
      </c>
      <c r="W204" s="115"/>
      <c r="X204" s="115"/>
      <c r="Y204" s="115">
        <f t="shared" si="1"/>
        <v>0.31348769871963822</v>
      </c>
      <c r="Z204" s="115">
        <f t="shared" si="2"/>
        <v>6.7084643243665409</v>
      </c>
      <c r="AA204" s="115">
        <f t="shared" si="3"/>
        <v>0.54154114878652948</v>
      </c>
      <c r="AB204" s="115">
        <f t="shared" si="4"/>
        <v>4.2615384615384615</v>
      </c>
      <c r="AC204" s="132">
        <f t="shared" si="5"/>
        <v>6.1939428876463847</v>
      </c>
    </row>
    <row r="205" spans="1:29" x14ac:dyDescent="0.3">
      <c r="A205" s="131" t="s">
        <v>459</v>
      </c>
      <c r="B205" s="115">
        <v>2007</v>
      </c>
      <c r="C205" s="115">
        <v>9653</v>
      </c>
      <c r="D205" s="115"/>
      <c r="E205" s="115"/>
      <c r="F205" s="115">
        <v>25</v>
      </c>
      <c r="G205" s="115" t="s">
        <v>460</v>
      </c>
      <c r="H205" s="115"/>
      <c r="I205" s="115" t="s">
        <v>461</v>
      </c>
      <c r="J205" s="115">
        <v>7.1</v>
      </c>
      <c r="K205" s="115"/>
      <c r="L205" s="115"/>
      <c r="M205" s="115">
        <v>45923</v>
      </c>
      <c r="N205" s="115"/>
      <c r="O205" s="115"/>
      <c r="P205" s="115"/>
      <c r="Q205" s="115"/>
      <c r="R205" s="115">
        <v>500</v>
      </c>
      <c r="S205" s="115"/>
      <c r="T205" s="115"/>
      <c r="U205" s="115"/>
      <c r="V205" s="115"/>
      <c r="W205" s="115"/>
      <c r="X205" s="115"/>
      <c r="Y205" s="115"/>
      <c r="Z205" s="115"/>
      <c r="AA205" s="115" t="e">
        <f t="shared" si="3"/>
        <v>#DIV/0!</v>
      </c>
      <c r="AB205" s="115">
        <f t="shared" si="4"/>
        <v>4.2985915492957751</v>
      </c>
      <c r="AC205" s="132"/>
    </row>
    <row r="206" spans="1:29" x14ac:dyDescent="0.3">
      <c r="A206" s="131" t="s">
        <v>462</v>
      </c>
      <c r="B206" s="115">
        <v>2001</v>
      </c>
      <c r="C206" s="115">
        <v>5700</v>
      </c>
      <c r="D206" s="115"/>
      <c r="E206" s="115"/>
      <c r="F206" s="115">
        <v>23</v>
      </c>
      <c r="G206" s="115">
        <v>186</v>
      </c>
      <c r="H206" s="115">
        <f t="shared" si="6"/>
        <v>171.57221798780486</v>
      </c>
      <c r="I206" s="115">
        <v>28</v>
      </c>
      <c r="J206" s="115">
        <v>6.55</v>
      </c>
      <c r="K206" s="115"/>
      <c r="L206" s="115"/>
      <c r="M206" s="115">
        <v>33796</v>
      </c>
      <c r="N206" s="115"/>
      <c r="O206" s="115">
        <v>2000</v>
      </c>
      <c r="P206" s="115"/>
      <c r="Q206" s="115"/>
      <c r="R206" s="115">
        <v>1900</v>
      </c>
      <c r="S206" s="115"/>
      <c r="T206" s="115"/>
      <c r="U206" s="115"/>
      <c r="V206" s="115">
        <f>2*11700+2*7800</f>
        <v>39000</v>
      </c>
      <c r="W206" s="115"/>
      <c r="X206" s="115"/>
      <c r="Y206" s="115">
        <f t="shared" si="1"/>
        <v>0.28840868282206716</v>
      </c>
      <c r="Z206" s="115">
        <f t="shared" si="2"/>
        <v>6.5571020807021654</v>
      </c>
      <c r="AA206" s="115">
        <f t="shared" si="3"/>
        <v>0.56932304762770392</v>
      </c>
      <c r="AB206" s="115">
        <f t="shared" si="4"/>
        <v>4.2748091603053435</v>
      </c>
      <c r="AC206" s="132">
        <f t="shared" si="5"/>
        <v>6.1275792138501739</v>
      </c>
    </row>
    <row r="207" spans="1:29" x14ac:dyDescent="0.3">
      <c r="A207" s="131" t="s">
        <v>463</v>
      </c>
      <c r="B207" s="115"/>
      <c r="C207" s="115">
        <v>346</v>
      </c>
      <c r="D207" s="115"/>
      <c r="E207" s="115">
        <v>1496</v>
      </c>
      <c r="F207" s="115">
        <v>13.7</v>
      </c>
      <c r="G207" s="115">
        <v>55.47</v>
      </c>
      <c r="H207" s="115">
        <v>50.4</v>
      </c>
      <c r="I207" s="115">
        <v>12.84</v>
      </c>
      <c r="J207" s="115">
        <v>4.5</v>
      </c>
      <c r="K207" s="115"/>
      <c r="L207" s="115"/>
      <c r="M207" s="115"/>
      <c r="N207" s="115"/>
      <c r="O207" s="115"/>
      <c r="P207" s="115"/>
      <c r="Q207" s="115"/>
      <c r="R207" s="115">
        <v>260</v>
      </c>
      <c r="S207" s="115"/>
      <c r="T207" s="115"/>
      <c r="U207" s="115"/>
      <c r="V207" s="115">
        <v>1765</v>
      </c>
      <c r="W207" s="115"/>
      <c r="X207" s="115"/>
      <c r="Y207" s="115">
        <f t="shared" si="1"/>
        <v>0.3169635167859885</v>
      </c>
      <c r="Z207" s="115">
        <f t="shared" si="2"/>
        <v>4.3395208475216656</v>
      </c>
      <c r="AA207" s="115">
        <f t="shared" si="3"/>
        <v>0.53797017371695055</v>
      </c>
      <c r="AB207" s="115">
        <f t="shared" si="4"/>
        <v>2.8533333333333335</v>
      </c>
      <c r="AC207" s="132">
        <f t="shared" si="5"/>
        <v>3.9252336448598131</v>
      </c>
    </row>
    <row r="208" spans="1:29" x14ac:dyDescent="0.3">
      <c r="A208" s="131" t="s">
        <v>464</v>
      </c>
      <c r="B208" s="115">
        <v>1988</v>
      </c>
      <c r="C208" s="115">
        <v>740</v>
      </c>
      <c r="D208" s="115"/>
      <c r="E208" s="115">
        <v>3900</v>
      </c>
      <c r="F208" s="115">
        <v>14.3</v>
      </c>
      <c r="G208" s="115">
        <v>89.98</v>
      </c>
      <c r="H208" s="115">
        <v>78.45</v>
      </c>
      <c r="I208" s="115">
        <v>17.61</v>
      </c>
      <c r="J208" s="115">
        <v>5.25</v>
      </c>
      <c r="K208" s="115"/>
      <c r="L208" s="115"/>
      <c r="M208" s="115"/>
      <c r="N208" s="115"/>
      <c r="O208" s="115"/>
      <c r="P208" s="115"/>
      <c r="Q208" s="115"/>
      <c r="R208" s="115">
        <v>150</v>
      </c>
      <c r="S208" s="115"/>
      <c r="T208" s="115"/>
      <c r="U208" s="115"/>
      <c r="V208" s="115">
        <v>1920</v>
      </c>
      <c r="W208" s="115"/>
      <c r="X208" s="115"/>
      <c r="Y208" s="115">
        <f t="shared" si="1"/>
        <v>0.26518169449108003</v>
      </c>
      <c r="Z208" s="115">
        <f t="shared" si="2"/>
        <v>4.8085027163364842</v>
      </c>
      <c r="AA208" s="115">
        <f t="shared" si="3"/>
        <v>0.59873912636971616</v>
      </c>
      <c r="AB208" s="115">
        <f t="shared" si="4"/>
        <v>3.3542857142857141</v>
      </c>
      <c r="AC208" s="132">
        <f t="shared" si="5"/>
        <v>4.4548551959114144</v>
      </c>
    </row>
    <row r="209" spans="1:29" x14ac:dyDescent="0.3">
      <c r="A209" s="131" t="s">
        <v>465</v>
      </c>
      <c r="B209" s="115">
        <v>1985</v>
      </c>
      <c r="C209" s="115">
        <v>254</v>
      </c>
      <c r="D209" s="115"/>
      <c r="E209" s="115">
        <v>1010</v>
      </c>
      <c r="F209" s="115">
        <v>12.5</v>
      </c>
      <c r="G209" s="115">
        <v>49.92</v>
      </c>
      <c r="H209" s="115">
        <v>44.9</v>
      </c>
      <c r="I209" s="115">
        <v>12.8</v>
      </c>
      <c r="J209" s="115">
        <v>3.1</v>
      </c>
      <c r="K209" s="115"/>
      <c r="L209" s="115"/>
      <c r="M209" s="115"/>
      <c r="N209" s="115"/>
      <c r="O209" s="115"/>
      <c r="P209" s="115"/>
      <c r="Q209" s="115"/>
      <c r="R209" s="115">
        <v>120</v>
      </c>
      <c r="S209" s="115"/>
      <c r="T209" s="115"/>
      <c r="U209" s="115"/>
      <c r="V209" s="115">
        <v>1420</v>
      </c>
      <c r="W209" s="115"/>
      <c r="X209" s="115"/>
      <c r="Y209" s="115">
        <f t="shared" ref="Y209:Y217" si="7">CONVERT(F209,"kn","m/sec")/SQRT(9.81*H209)</f>
        <v>0.30640145295933496</v>
      </c>
      <c r="Z209" s="115">
        <f t="shared" ref="Z209:Z217" si="8">H209/(AA209*H209*I209*J209)^(1/3)</f>
        <v>4.5231804654516834</v>
      </c>
      <c r="AA209" s="115">
        <f t="shared" ref="AA209:AA217" si="9">0.27/(Y209^(3/5))</f>
        <v>0.54902139875949152</v>
      </c>
      <c r="AB209" s="115">
        <f t="shared" ref="AB209:AB217" si="10">I209/J209</f>
        <v>4.129032258064516</v>
      </c>
      <c r="AC209" s="132">
        <f t="shared" ref="AC209:AC217" si="11">H209/I209</f>
        <v>3.5078124999999996</v>
      </c>
    </row>
    <row r="210" spans="1:29" x14ac:dyDescent="0.3">
      <c r="A210" s="131" t="s">
        <v>466</v>
      </c>
      <c r="B210" s="115">
        <v>1990</v>
      </c>
      <c r="C210" s="115">
        <v>254</v>
      </c>
      <c r="D210" s="115"/>
      <c r="E210" s="115">
        <v>1010</v>
      </c>
      <c r="F210" s="115">
        <v>9.4</v>
      </c>
      <c r="G210" s="115">
        <v>49.72</v>
      </c>
      <c r="H210" s="115">
        <v>42.97</v>
      </c>
      <c r="I210" s="115">
        <v>12.8</v>
      </c>
      <c r="J210" s="115">
        <v>3.1</v>
      </c>
      <c r="K210" s="115"/>
      <c r="L210" s="115"/>
      <c r="M210" s="115"/>
      <c r="N210" s="115"/>
      <c r="O210" s="115"/>
      <c r="P210" s="115"/>
      <c r="Q210" s="115"/>
      <c r="R210" s="115">
        <v>250</v>
      </c>
      <c r="S210" s="115"/>
      <c r="T210" s="115"/>
      <c r="U210" s="115"/>
      <c r="V210" s="115">
        <v>1420</v>
      </c>
      <c r="W210" s="115"/>
      <c r="X210" s="115"/>
      <c r="Y210" s="115">
        <f t="shared" si="7"/>
        <v>0.2355315849949661</v>
      </c>
      <c r="Z210" s="115">
        <f t="shared" si="8"/>
        <v>4.1674934331725382</v>
      </c>
      <c r="AA210" s="115">
        <f t="shared" si="9"/>
        <v>0.64288644860625666</v>
      </c>
      <c r="AB210" s="115">
        <f t="shared" si="10"/>
        <v>4.129032258064516</v>
      </c>
      <c r="AC210" s="132">
        <f t="shared" si="11"/>
        <v>3.3570312499999999</v>
      </c>
    </row>
    <row r="211" spans="1:29" x14ac:dyDescent="0.3">
      <c r="A211" s="131" t="s">
        <v>467</v>
      </c>
      <c r="B211" s="115">
        <v>1989</v>
      </c>
      <c r="C211" s="115">
        <v>1738</v>
      </c>
      <c r="D211" s="115"/>
      <c r="E211" s="115">
        <v>6718</v>
      </c>
      <c r="F211" s="115">
        <v>16</v>
      </c>
      <c r="G211" s="115">
        <v>117.17</v>
      </c>
      <c r="H211" s="115">
        <v>106.24</v>
      </c>
      <c r="I211" s="115">
        <v>18.2</v>
      </c>
      <c r="J211" s="115">
        <v>5.9</v>
      </c>
      <c r="K211" s="115"/>
      <c r="L211" s="115"/>
      <c r="M211" s="115"/>
      <c r="N211" s="115"/>
      <c r="O211" s="115"/>
      <c r="P211" s="115"/>
      <c r="Q211" s="115"/>
      <c r="R211" s="115">
        <v>117</v>
      </c>
      <c r="S211" s="115"/>
      <c r="T211" s="115"/>
      <c r="U211" s="115"/>
      <c r="V211" s="115">
        <v>5152</v>
      </c>
      <c r="W211" s="115"/>
      <c r="X211" s="115"/>
      <c r="Y211" s="115">
        <f t="shared" si="7"/>
        <v>0.25496462558289623</v>
      </c>
      <c r="Z211" s="115">
        <f t="shared" si="8"/>
        <v>5.5555318189011</v>
      </c>
      <c r="AA211" s="115">
        <f t="shared" si="9"/>
        <v>0.61302164115333857</v>
      </c>
      <c r="AB211" s="115">
        <f t="shared" si="10"/>
        <v>3.0847457627118642</v>
      </c>
      <c r="AC211" s="132">
        <f t="shared" si="11"/>
        <v>5.8373626373626371</v>
      </c>
    </row>
    <row r="212" spans="1:29" x14ac:dyDescent="0.3">
      <c r="A212" s="131" t="s">
        <v>81</v>
      </c>
      <c r="B212" s="115">
        <v>2008</v>
      </c>
      <c r="C212" s="115">
        <v>11033</v>
      </c>
      <c r="D212" s="115"/>
      <c r="E212" s="115"/>
      <c r="F212" s="115">
        <v>22</v>
      </c>
      <c r="G212" s="115">
        <v>311.10000000000002</v>
      </c>
      <c r="H212" s="115">
        <f t="shared" ref="H212" si="12">(G212-5.9178)/1.0496</f>
        <v>290.76048018292681</v>
      </c>
      <c r="I212" s="115">
        <v>47.4</v>
      </c>
      <c r="J212" s="115">
        <v>8.8000000000000007</v>
      </c>
      <c r="K212" s="115"/>
      <c r="L212" s="115">
        <f t="shared" ref="L212:L213" si="13">SUM(K212-J212)</f>
        <v>-8.8000000000000007</v>
      </c>
      <c r="M212" s="115">
        <v>137276</v>
      </c>
      <c r="N212" s="115"/>
      <c r="O212" s="115"/>
      <c r="P212" s="115"/>
      <c r="Q212" s="115"/>
      <c r="R212" s="115">
        <v>3838</v>
      </c>
      <c r="S212" s="115"/>
      <c r="T212" s="115"/>
      <c r="U212" s="115"/>
      <c r="V212" s="115">
        <v>75600</v>
      </c>
      <c r="W212" s="115"/>
      <c r="X212" s="115"/>
      <c r="Y212" s="115">
        <f t="shared" si="7"/>
        <v>0.21191366862533281</v>
      </c>
      <c r="Z212" s="115">
        <f t="shared" si="8"/>
        <v>6.6636746735878329</v>
      </c>
      <c r="AA212" s="115">
        <f t="shared" si="9"/>
        <v>0.68496500230159596</v>
      </c>
      <c r="AB212" s="115">
        <f t="shared" si="10"/>
        <v>5.3863636363636358</v>
      </c>
      <c r="AC212" s="132">
        <f t="shared" si="11"/>
        <v>6.1341873456313678</v>
      </c>
    </row>
    <row r="213" spans="1:29" x14ac:dyDescent="0.3">
      <c r="A213" s="131" t="s">
        <v>468</v>
      </c>
      <c r="B213" s="115">
        <v>2013</v>
      </c>
      <c r="C213" s="115">
        <v>3900</v>
      </c>
      <c r="D213" s="115"/>
      <c r="E213" s="115"/>
      <c r="F213" s="115">
        <v>21.5</v>
      </c>
      <c r="G213" s="115">
        <v>170</v>
      </c>
      <c r="H213" s="115">
        <v>148</v>
      </c>
      <c r="I213" s="115">
        <v>27.5</v>
      </c>
      <c r="J213" s="115">
        <v>6.36</v>
      </c>
      <c r="K213" s="115">
        <v>9.3000000000000007</v>
      </c>
      <c r="L213" s="115">
        <f t="shared" si="13"/>
        <v>2.9400000000000004</v>
      </c>
      <c r="M213" s="115">
        <v>31678</v>
      </c>
      <c r="N213" s="115"/>
      <c r="O213" s="115"/>
      <c r="P213" s="115"/>
      <c r="Q213" s="115"/>
      <c r="R213" s="115">
        <v>1500</v>
      </c>
      <c r="S213" s="115"/>
      <c r="T213" s="115"/>
      <c r="U213" s="115"/>
      <c r="V213" s="115"/>
      <c r="W213" s="115"/>
      <c r="X213" s="115"/>
      <c r="Y213" s="115">
        <f t="shared" si="7"/>
        <v>0.29027630092661616</v>
      </c>
      <c r="Z213" s="115">
        <f t="shared" si="8"/>
        <v>6.0443870773887127</v>
      </c>
      <c r="AA213" s="115">
        <f t="shared" si="9"/>
        <v>0.56712241940526609</v>
      </c>
      <c r="AB213" s="115">
        <f t="shared" si="10"/>
        <v>4.3238993710691824</v>
      </c>
      <c r="AC213" s="132">
        <f t="shared" si="11"/>
        <v>5.3818181818181818</v>
      </c>
    </row>
    <row r="214" spans="1:29" x14ac:dyDescent="0.3">
      <c r="A214" s="131" t="s">
        <v>196</v>
      </c>
      <c r="B214" s="115">
        <v>2012</v>
      </c>
      <c r="C214" s="115">
        <v>7662</v>
      </c>
      <c r="D214" s="115"/>
      <c r="E214" s="115"/>
      <c r="F214" s="115">
        <v>20</v>
      </c>
      <c r="G214" s="115">
        <v>251</v>
      </c>
      <c r="H214" s="115">
        <f t="shared" ref="H214" si="14">(G214-5.9178)/1.0496</f>
        <v>233.50057164634146</v>
      </c>
      <c r="I214" s="115">
        <v>32.200000000000003</v>
      </c>
      <c r="J214" s="115">
        <v>7.32</v>
      </c>
      <c r="K214" s="115"/>
      <c r="L214" s="115"/>
      <c r="M214" s="115">
        <v>66172</v>
      </c>
      <c r="N214" s="115"/>
      <c r="O214" s="115"/>
      <c r="P214" s="115"/>
      <c r="Q214" s="115"/>
      <c r="R214" s="115">
        <v>1250</v>
      </c>
      <c r="S214" s="115"/>
      <c r="T214" s="115"/>
      <c r="U214" s="115"/>
      <c r="V214" s="115"/>
      <c r="W214" s="115"/>
      <c r="X214" s="115"/>
      <c r="Y214" s="115">
        <f t="shared" si="7"/>
        <v>0.2149760107239724</v>
      </c>
      <c r="Z214" s="115">
        <f t="shared" si="8"/>
        <v>6.9838203582884733</v>
      </c>
      <c r="AA214" s="115">
        <f t="shared" si="9"/>
        <v>0.67909379844861795</v>
      </c>
      <c r="AB214" s="115">
        <f t="shared" si="10"/>
        <v>4.3989071038251364</v>
      </c>
      <c r="AC214" s="132">
        <f t="shared" si="11"/>
        <v>7.2515705480230261</v>
      </c>
    </row>
    <row r="215" spans="1:29" x14ac:dyDescent="0.3">
      <c r="A215" s="131" t="s">
        <v>469</v>
      </c>
      <c r="B215" s="115">
        <v>2014</v>
      </c>
      <c r="C215" s="115">
        <v>3900</v>
      </c>
      <c r="D215" s="115"/>
      <c r="E215" s="115"/>
      <c r="F215" s="115">
        <v>21.5</v>
      </c>
      <c r="G215" s="115">
        <v>170</v>
      </c>
      <c r="H215" s="115">
        <v>148</v>
      </c>
      <c r="I215" s="115">
        <v>27.5</v>
      </c>
      <c r="J215" s="115">
        <v>6.36</v>
      </c>
      <c r="K215" s="115">
        <v>9.3000000000000007</v>
      </c>
      <c r="L215" s="115">
        <f>SUM(K215-J215)</f>
        <v>2.9400000000000004</v>
      </c>
      <c r="M215" s="115">
        <v>31678</v>
      </c>
      <c r="N215" s="115"/>
      <c r="O215" s="115"/>
      <c r="P215" s="115"/>
      <c r="Q215" s="115"/>
      <c r="R215" s="115">
        <v>1500</v>
      </c>
      <c r="S215" s="115"/>
      <c r="T215" s="115"/>
      <c r="U215" s="115"/>
      <c r="V215" s="115"/>
      <c r="W215" s="115"/>
      <c r="X215" s="115"/>
      <c r="Y215" s="115">
        <f t="shared" si="7"/>
        <v>0.29027630092661616</v>
      </c>
      <c r="Z215" s="115">
        <f t="shared" si="8"/>
        <v>6.0443870773887127</v>
      </c>
      <c r="AA215" s="115">
        <f t="shared" si="9"/>
        <v>0.56712241940526609</v>
      </c>
      <c r="AB215" s="115">
        <f t="shared" si="10"/>
        <v>4.3238993710691824</v>
      </c>
      <c r="AC215" s="132">
        <f t="shared" si="11"/>
        <v>5.3818181818181818</v>
      </c>
    </row>
    <row r="216" spans="1:29" x14ac:dyDescent="0.3">
      <c r="A216" s="131" t="s">
        <v>470</v>
      </c>
      <c r="B216" s="115">
        <v>2013</v>
      </c>
      <c r="C216" s="115">
        <v>6107</v>
      </c>
      <c r="D216" s="115"/>
      <c r="E216" s="115"/>
      <c r="F216" s="115">
        <v>21.8</v>
      </c>
      <c r="G216" s="115">
        <v>218.21</v>
      </c>
      <c r="H216" s="115">
        <f t="shared" ref="H216" si="15">(G216-5.9178)/1.0496</f>
        <v>202.26009908536585</v>
      </c>
      <c r="I216" s="115">
        <v>32.42</v>
      </c>
      <c r="J216" s="115">
        <v>6.8</v>
      </c>
      <c r="K216" s="115"/>
      <c r="L216" s="115"/>
      <c r="M216" s="115">
        <v>57565</v>
      </c>
      <c r="N216" s="115"/>
      <c r="O216" s="115"/>
      <c r="P216" s="115"/>
      <c r="Q216" s="115"/>
      <c r="R216" s="115">
        <v>2800</v>
      </c>
      <c r="S216" s="115"/>
      <c r="T216" s="115"/>
      <c r="U216" s="115"/>
      <c r="V216" s="115">
        <v>30400</v>
      </c>
      <c r="W216" s="115"/>
      <c r="X216" s="115"/>
      <c r="Y216" s="115">
        <f t="shared" si="7"/>
        <v>0.25177080219892428</v>
      </c>
      <c r="Z216" s="115">
        <f t="shared" si="8"/>
        <v>6.6974989477463254</v>
      </c>
      <c r="AA216" s="115">
        <f t="shared" si="9"/>
        <v>0.61767574249857082</v>
      </c>
      <c r="AB216" s="115">
        <f t="shared" si="10"/>
        <v>4.7676470588235293</v>
      </c>
      <c r="AC216" s="132">
        <f t="shared" si="11"/>
        <v>6.2387445738854366</v>
      </c>
    </row>
    <row r="217" spans="1:29" ht="15" thickBot="1" x14ac:dyDescent="0.35">
      <c r="A217" s="135" t="s">
        <v>471</v>
      </c>
      <c r="B217" s="136" t="s">
        <v>472</v>
      </c>
      <c r="C217" s="136">
        <v>3000</v>
      </c>
      <c r="D217" s="136"/>
      <c r="E217" s="136"/>
      <c r="F217" s="136">
        <v>18.5</v>
      </c>
      <c r="G217" s="136">
        <v>181.18</v>
      </c>
      <c r="H217" s="136">
        <v>173.6</v>
      </c>
      <c r="I217" s="136">
        <v>24.8</v>
      </c>
      <c r="J217" s="136">
        <v>5.5</v>
      </c>
      <c r="K217" s="136">
        <v>8.1999999999999993</v>
      </c>
      <c r="L217" s="136">
        <f>SUM(K217-J217)</f>
        <v>2.6999999999999993</v>
      </c>
      <c r="M217" s="136">
        <v>26200</v>
      </c>
      <c r="N217" s="136"/>
      <c r="O217" s="136">
        <v>2200</v>
      </c>
      <c r="P217" s="136"/>
      <c r="Q217" s="136"/>
      <c r="R217" s="136">
        <v>1500</v>
      </c>
      <c r="S217" s="136"/>
      <c r="T217" s="136"/>
      <c r="U217" s="136"/>
      <c r="V217" s="136">
        <v>10700</v>
      </c>
      <c r="W217" s="136"/>
      <c r="X217" s="136"/>
      <c r="Y217" s="136">
        <f t="shared" si="7"/>
        <v>0.23062205934976637</v>
      </c>
      <c r="Z217" s="136">
        <f t="shared" si="8"/>
        <v>6.9751562112249363</v>
      </c>
      <c r="AA217" s="136">
        <f t="shared" si="9"/>
        <v>0.65106336219420335</v>
      </c>
      <c r="AB217" s="115">
        <f t="shared" si="10"/>
        <v>4.5090909090909088</v>
      </c>
      <c r="AC217" s="137">
        <f t="shared" si="11"/>
        <v>7</v>
      </c>
    </row>
    <row r="218" spans="1:29" ht="15" thickBot="1" x14ac:dyDescent="0.35">
      <c r="A218" s="122"/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  <c r="X218" s="124"/>
    </row>
  </sheetData>
  <mergeCells count="14">
    <mergeCell ref="U65:X66"/>
    <mergeCell ref="D85:E86"/>
    <mergeCell ref="M85:N86"/>
    <mergeCell ref="V85:W86"/>
    <mergeCell ref="A1:C1"/>
    <mergeCell ref="A20:C21"/>
    <mergeCell ref="C25:F26"/>
    <mergeCell ref="L25:O26"/>
    <mergeCell ref="U25:X26"/>
    <mergeCell ref="C45:D46"/>
    <mergeCell ref="M45:N46"/>
    <mergeCell ref="V45:W46"/>
    <mergeCell ref="D65:E66"/>
    <mergeCell ref="M65:N66"/>
  </mergeCells>
  <pageMargins left="0.7" right="0.7" top="0.75" bottom="0.75" header="0.3" footer="0.3"/>
  <pageSetup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A9608-3187-468D-BE09-3E3F95FBA599}">
  <sheetPr codeName="Sheet6"/>
  <dimension ref="A1:AD165"/>
  <sheetViews>
    <sheetView tabSelected="1" topLeftCell="A2" zoomScale="40" zoomScaleNormal="40" workbookViewId="0">
      <selection activeCell="I10" sqref="I10"/>
    </sheetView>
  </sheetViews>
  <sheetFormatPr defaultRowHeight="14.4" x14ac:dyDescent="0.3"/>
  <cols>
    <col min="1" max="1" width="29.44140625" bestFit="1" customWidth="1"/>
    <col min="2" max="2" width="12.5546875" customWidth="1"/>
    <col min="3" max="3" width="33.21875" customWidth="1"/>
    <col min="5" max="5" width="17.21875" customWidth="1"/>
    <col min="6" max="6" width="17" customWidth="1"/>
    <col min="7" max="7" width="13.77734375" customWidth="1"/>
    <col min="8" max="8" width="16.44140625" customWidth="1"/>
    <col min="9" max="9" width="13.44140625" customWidth="1"/>
    <col min="10" max="10" width="14.21875" customWidth="1"/>
    <col min="11" max="11" width="13.21875" customWidth="1"/>
    <col min="12" max="12" width="12.77734375" customWidth="1"/>
    <col min="13" max="13" width="14.5546875" customWidth="1"/>
    <col min="14" max="14" width="11.77734375" customWidth="1"/>
    <col min="15" max="15" width="10.77734375" customWidth="1"/>
    <col min="16" max="17" width="20.77734375" customWidth="1"/>
    <col min="18" max="18" width="17.21875" customWidth="1"/>
    <col min="19" max="19" width="15.21875" customWidth="1"/>
    <col min="20" max="20" width="14" customWidth="1"/>
    <col min="21" max="21" width="14.44140625" customWidth="1"/>
    <col min="22" max="22" width="15.77734375" customWidth="1"/>
    <col min="23" max="23" width="12.77734375" customWidth="1"/>
    <col min="24" max="24" width="25.21875" customWidth="1"/>
    <col min="25" max="25" width="17.44140625" customWidth="1"/>
    <col min="26" max="26" width="16.5546875" customWidth="1"/>
  </cols>
  <sheetData>
    <row r="1" spans="1:3" ht="15" thickBot="1" x14ac:dyDescent="0.35">
      <c r="A1" s="260" t="s">
        <v>0</v>
      </c>
      <c r="B1" s="261"/>
      <c r="C1" s="262"/>
    </row>
    <row r="2" spans="1:3" x14ac:dyDescent="0.3">
      <c r="A2" s="145" t="s">
        <v>228</v>
      </c>
      <c r="B2" s="146">
        <v>287</v>
      </c>
      <c r="C2" s="146" t="s">
        <v>229</v>
      </c>
    </row>
    <row r="3" spans="1:3" x14ac:dyDescent="0.3">
      <c r="A3" s="143" t="s">
        <v>230</v>
      </c>
      <c r="B3" s="144">
        <v>280</v>
      </c>
      <c r="C3" s="144" t="s">
        <v>229</v>
      </c>
    </row>
    <row r="4" spans="1:3" x14ac:dyDescent="0.3">
      <c r="A4" s="143" t="s">
        <v>2</v>
      </c>
      <c r="B4" s="144">
        <v>37</v>
      </c>
      <c r="C4" s="144" t="s">
        <v>229</v>
      </c>
    </row>
    <row r="5" spans="1:3" x14ac:dyDescent="0.3">
      <c r="A5" s="143" t="s">
        <v>3</v>
      </c>
      <c r="B5" s="144">
        <v>8</v>
      </c>
      <c r="C5" s="144" t="s">
        <v>229</v>
      </c>
    </row>
    <row r="6" spans="1:3" x14ac:dyDescent="0.3">
      <c r="A6" s="143" t="s">
        <v>4</v>
      </c>
      <c r="B6" s="144">
        <v>16</v>
      </c>
      <c r="C6" s="144" t="s">
        <v>229</v>
      </c>
    </row>
    <row r="7" spans="1:3" x14ac:dyDescent="0.3">
      <c r="A7" s="143" t="s">
        <v>5</v>
      </c>
      <c r="B7" s="144">
        <v>80000</v>
      </c>
      <c r="C7" s="144" t="s">
        <v>231</v>
      </c>
    </row>
    <row r="8" spans="1:3" x14ac:dyDescent="0.3">
      <c r="A8" s="143" t="s">
        <v>6</v>
      </c>
      <c r="B8" s="144">
        <v>0.75</v>
      </c>
      <c r="C8" s="144"/>
    </row>
    <row r="9" spans="1:3" x14ac:dyDescent="0.3">
      <c r="A9" s="143" t="s">
        <v>7</v>
      </c>
      <c r="B9" s="144">
        <v>18</v>
      </c>
      <c r="C9" s="144" t="s">
        <v>232</v>
      </c>
    </row>
    <row r="10" spans="1:3" x14ac:dyDescent="0.3">
      <c r="A10" s="143" t="s">
        <v>8</v>
      </c>
      <c r="B10" s="144">
        <v>2000</v>
      </c>
      <c r="C10" s="144"/>
    </row>
    <row r="11" spans="1:3" x14ac:dyDescent="0.3">
      <c r="A11" s="143" t="s">
        <v>233</v>
      </c>
      <c r="B11" s="144">
        <v>50000</v>
      </c>
      <c r="C11" s="144" t="s">
        <v>234</v>
      </c>
    </row>
    <row r="12" spans="1:3" x14ac:dyDescent="0.3">
      <c r="A12" s="143" t="s">
        <v>235</v>
      </c>
      <c r="B12" s="144">
        <v>3000</v>
      </c>
      <c r="C12" s="144"/>
    </row>
    <row r="13" spans="1:3" x14ac:dyDescent="0.3">
      <c r="A13" s="143" t="s">
        <v>9</v>
      </c>
      <c r="B13" s="49">
        <f>B3/B4</f>
        <v>7.5675675675675675</v>
      </c>
      <c r="C13" s="49"/>
    </row>
    <row r="14" spans="1:3" x14ac:dyDescent="0.3">
      <c r="A14" s="143" t="s">
        <v>10</v>
      </c>
      <c r="B14" s="49">
        <f>B4/B5</f>
        <v>4.625</v>
      </c>
      <c r="C14" s="49"/>
    </row>
    <row r="15" spans="1:3" x14ac:dyDescent="0.3">
      <c r="A15" s="143" t="s">
        <v>11</v>
      </c>
      <c r="B15" s="49">
        <f>B3/B6</f>
        <v>17.5</v>
      </c>
      <c r="C15" s="49"/>
    </row>
    <row r="16" spans="1:3" x14ac:dyDescent="0.3">
      <c r="A16" s="143" t="s">
        <v>12</v>
      </c>
      <c r="B16" s="49">
        <f>B3/(B8*B3*B4*B5)^(1/3)</f>
        <v>7.0683985547737125</v>
      </c>
      <c r="C16" s="49"/>
    </row>
    <row r="17" spans="1:27" x14ac:dyDescent="0.3">
      <c r="A17" s="143" t="s">
        <v>13</v>
      </c>
      <c r="B17" s="49">
        <f>CONVERT(B9,"kn","m/sec")/SQRT(9.81*B3)</f>
        <v>0.1766840994720856</v>
      </c>
      <c r="C17" s="49"/>
    </row>
    <row r="22" spans="1:27" ht="15" thickBot="1" x14ac:dyDescent="0.35"/>
    <row r="23" spans="1:27" x14ac:dyDescent="0.3">
      <c r="A23" s="249" t="s">
        <v>338</v>
      </c>
      <c r="B23" s="250"/>
      <c r="C23" s="251"/>
    </row>
    <row r="24" spans="1:27" ht="15" thickBot="1" x14ac:dyDescent="0.35">
      <c r="A24" s="252"/>
      <c r="B24" s="253"/>
      <c r="C24" s="254"/>
    </row>
    <row r="27" spans="1:27" ht="15" thickBot="1" x14ac:dyDescent="0.35"/>
    <row r="28" spans="1:27" x14ac:dyDescent="0.3">
      <c r="A28" s="87"/>
      <c r="B28" s="86"/>
      <c r="C28" s="238" t="s">
        <v>17</v>
      </c>
      <c r="D28" s="239"/>
      <c r="E28" s="239"/>
      <c r="F28" s="240"/>
      <c r="G28" s="86"/>
      <c r="H28" s="85"/>
      <c r="J28" s="87"/>
      <c r="K28" s="86"/>
      <c r="L28" s="232" t="s">
        <v>18</v>
      </c>
      <c r="M28" s="233"/>
      <c r="N28" s="233"/>
      <c r="O28" s="234"/>
      <c r="P28" s="86"/>
      <c r="Q28" s="85"/>
      <c r="S28" s="87"/>
      <c r="T28" s="86"/>
      <c r="U28" s="232" t="s">
        <v>19</v>
      </c>
      <c r="V28" s="233"/>
      <c r="W28" s="233"/>
      <c r="X28" s="234"/>
      <c r="Y28" s="86"/>
      <c r="Z28" s="85"/>
    </row>
    <row r="29" spans="1:27" ht="15" thickBot="1" x14ac:dyDescent="0.35">
      <c r="A29" s="84"/>
      <c r="B29" s="46"/>
      <c r="C29" s="241"/>
      <c r="D29" s="242"/>
      <c r="E29" s="242"/>
      <c r="F29" s="243"/>
      <c r="G29" s="46"/>
      <c r="H29" s="83"/>
      <c r="J29" s="84"/>
      <c r="K29" s="46"/>
      <c r="L29" s="235"/>
      <c r="M29" s="236"/>
      <c r="N29" s="236"/>
      <c r="O29" s="237"/>
      <c r="P29" s="46"/>
      <c r="Q29" s="83"/>
      <c r="S29" s="84"/>
      <c r="T29" s="46"/>
      <c r="U29" s="235"/>
      <c r="V29" s="236"/>
      <c r="W29" s="236"/>
      <c r="X29" s="237"/>
      <c r="Y29" s="46"/>
      <c r="Z29" s="83"/>
    </row>
    <row r="30" spans="1:27" ht="14.25" customHeight="1" x14ac:dyDescent="0.3">
      <c r="A30" s="84"/>
      <c r="B30" s="46"/>
      <c r="C30" s="46"/>
      <c r="D30" s="46"/>
      <c r="E30" s="46"/>
      <c r="F30" s="46"/>
      <c r="G30" s="46"/>
      <c r="H30" s="83"/>
      <c r="J30" s="84"/>
      <c r="K30" s="46"/>
      <c r="L30" s="46"/>
      <c r="M30" s="46"/>
      <c r="N30" s="46"/>
      <c r="O30" s="46"/>
      <c r="P30" s="46"/>
      <c r="Q30" s="83"/>
      <c r="S30" s="84"/>
      <c r="T30" s="46"/>
      <c r="U30" s="46"/>
      <c r="V30" s="46"/>
      <c r="W30" s="46"/>
      <c r="X30" s="46"/>
      <c r="Y30" s="46"/>
      <c r="Z30" s="83"/>
    </row>
    <row r="31" spans="1:27" ht="15" hidden="1" customHeight="1" x14ac:dyDescent="0.3">
      <c r="A31" s="84"/>
      <c r="B31" s="46"/>
      <c r="C31" s="46"/>
      <c r="D31" s="46"/>
      <c r="E31" s="46"/>
      <c r="F31" s="46"/>
      <c r="G31" s="46"/>
      <c r="H31" s="83"/>
      <c r="J31" s="84"/>
      <c r="K31" s="46"/>
      <c r="L31" s="46"/>
      <c r="M31" s="46"/>
      <c r="N31" s="46"/>
      <c r="O31" s="46"/>
      <c r="P31" s="46"/>
      <c r="Q31" s="83"/>
      <c r="S31" s="84"/>
      <c r="T31" s="46"/>
      <c r="U31" s="46"/>
      <c r="V31" s="46"/>
      <c r="W31" s="46"/>
      <c r="X31" s="46"/>
      <c r="Y31" s="46"/>
      <c r="Z31" s="83"/>
    </row>
    <row r="32" spans="1:27" ht="32.25" customHeight="1" x14ac:dyDescent="0.3">
      <c r="A32" s="84"/>
      <c r="B32" s="46"/>
      <c r="C32" s="46"/>
      <c r="D32" s="46"/>
      <c r="E32" s="46"/>
      <c r="F32" s="46"/>
      <c r="G32" s="46"/>
      <c r="H32" s="83"/>
      <c r="J32" s="84"/>
      <c r="K32" s="46"/>
      <c r="L32" s="46"/>
      <c r="M32" s="46"/>
      <c r="N32" s="46"/>
      <c r="O32" s="46"/>
      <c r="P32" s="46"/>
      <c r="Q32" s="83"/>
      <c r="S32" s="84"/>
      <c r="T32" s="46"/>
      <c r="U32" s="46"/>
      <c r="V32" s="46"/>
      <c r="W32" s="46"/>
      <c r="X32" s="46"/>
      <c r="Y32" s="46"/>
      <c r="Z32" s="83"/>
      <c r="AA32" s="1"/>
    </row>
    <row r="33" spans="1:26" x14ac:dyDescent="0.3">
      <c r="A33" s="84"/>
      <c r="B33" s="46"/>
      <c r="C33" s="46"/>
      <c r="D33" s="46"/>
      <c r="E33" s="46"/>
      <c r="F33" s="46"/>
      <c r="G33" s="46"/>
      <c r="H33" s="83"/>
      <c r="J33" s="84"/>
      <c r="K33" s="46"/>
      <c r="L33" s="46"/>
      <c r="M33" s="46"/>
      <c r="N33" s="46"/>
      <c r="O33" s="46"/>
      <c r="P33" s="46"/>
      <c r="Q33" s="83"/>
      <c r="S33" s="84"/>
      <c r="T33" s="46"/>
      <c r="U33" s="46"/>
      <c r="V33" s="46"/>
      <c r="W33" s="46"/>
      <c r="X33" s="46"/>
      <c r="Y33" s="46"/>
      <c r="Z33" s="83"/>
    </row>
    <row r="34" spans="1:26" x14ac:dyDescent="0.3">
      <c r="A34" s="84"/>
      <c r="B34" s="46"/>
      <c r="C34" s="46"/>
      <c r="D34" s="46"/>
      <c r="E34" s="46"/>
      <c r="F34" s="46"/>
      <c r="G34" s="46"/>
      <c r="H34" s="83"/>
      <c r="J34" s="84"/>
      <c r="K34" s="46"/>
      <c r="L34" s="46"/>
      <c r="M34" s="46"/>
      <c r="N34" s="46"/>
      <c r="O34" s="46"/>
      <c r="P34" s="46"/>
      <c r="Q34" s="83"/>
      <c r="S34" s="84"/>
      <c r="T34" s="46"/>
      <c r="U34" s="46"/>
      <c r="V34" s="46"/>
      <c r="W34" s="46"/>
      <c r="X34" s="46"/>
      <c r="Y34" s="46"/>
      <c r="Z34" s="83"/>
    </row>
    <row r="35" spans="1:26" x14ac:dyDescent="0.3">
      <c r="A35" s="84"/>
      <c r="B35" s="46"/>
      <c r="C35" s="46"/>
      <c r="D35" s="46"/>
      <c r="E35" s="46"/>
      <c r="F35" s="46"/>
      <c r="G35" s="46"/>
      <c r="H35" s="83"/>
      <c r="J35" s="84"/>
      <c r="K35" s="46"/>
      <c r="L35" s="46"/>
      <c r="M35" s="46"/>
      <c r="N35" s="46"/>
      <c r="O35" s="46"/>
      <c r="P35" s="46"/>
      <c r="Q35" s="83"/>
      <c r="S35" s="84"/>
      <c r="T35" s="46"/>
      <c r="U35" s="46"/>
      <c r="V35" s="46"/>
      <c r="W35" s="46"/>
      <c r="X35" s="46"/>
      <c r="Y35" s="46"/>
      <c r="Z35" s="83"/>
    </row>
    <row r="36" spans="1:26" x14ac:dyDescent="0.3">
      <c r="A36" s="84"/>
      <c r="B36" s="46"/>
      <c r="C36" s="46"/>
      <c r="D36" s="46"/>
      <c r="E36" s="46"/>
      <c r="F36" s="46"/>
      <c r="G36" s="46"/>
      <c r="H36" s="83"/>
      <c r="J36" s="84"/>
      <c r="K36" s="46"/>
      <c r="L36" s="46"/>
      <c r="M36" s="46"/>
      <c r="N36" s="46"/>
      <c r="O36" s="46"/>
      <c r="P36" s="46"/>
      <c r="Q36" s="83"/>
      <c r="S36" s="84"/>
      <c r="T36" s="46"/>
      <c r="U36" s="46"/>
      <c r="V36" s="46"/>
      <c r="W36" s="46"/>
      <c r="X36" s="46"/>
      <c r="Y36" s="46"/>
      <c r="Z36" s="83"/>
    </row>
    <row r="37" spans="1:26" ht="13.5" customHeight="1" x14ac:dyDescent="0.3">
      <c r="A37" s="84"/>
      <c r="B37" s="46"/>
      <c r="C37" s="46"/>
      <c r="D37" s="46"/>
      <c r="E37" s="46"/>
      <c r="F37" s="46"/>
      <c r="G37" s="46"/>
      <c r="H37" s="83"/>
      <c r="J37" s="84"/>
      <c r="K37" s="46"/>
      <c r="L37" s="46"/>
      <c r="M37" s="46"/>
      <c r="N37" s="46"/>
      <c r="O37" s="46"/>
      <c r="P37" s="46"/>
      <c r="Q37" s="83"/>
      <c r="S37" s="84"/>
      <c r="T37" s="46"/>
      <c r="U37" s="46"/>
      <c r="V37" s="46"/>
      <c r="W37" s="46"/>
      <c r="X37" s="46"/>
      <c r="Y37" s="46"/>
      <c r="Z37" s="83"/>
    </row>
    <row r="38" spans="1:26" x14ac:dyDescent="0.3">
      <c r="A38" s="84"/>
      <c r="B38" s="46"/>
      <c r="C38" s="46"/>
      <c r="D38" s="46"/>
      <c r="E38" s="46"/>
      <c r="F38" s="46"/>
      <c r="G38" s="46"/>
      <c r="H38" s="83"/>
      <c r="J38" s="84"/>
      <c r="K38" s="46"/>
      <c r="L38" s="46"/>
      <c r="M38" s="46"/>
      <c r="N38" s="46"/>
      <c r="O38" s="46"/>
      <c r="P38" s="46"/>
      <c r="Q38" s="83"/>
      <c r="S38" s="84"/>
      <c r="T38" s="46"/>
      <c r="U38" s="46"/>
      <c r="V38" s="46"/>
      <c r="W38" s="46"/>
      <c r="X38" s="46"/>
      <c r="Y38" s="46"/>
      <c r="Z38" s="83"/>
    </row>
    <row r="39" spans="1:26" x14ac:dyDescent="0.3">
      <c r="A39" s="84"/>
      <c r="B39" s="46"/>
      <c r="C39" s="46"/>
      <c r="D39" s="46"/>
      <c r="E39" s="46"/>
      <c r="F39" s="46"/>
      <c r="G39" s="46"/>
      <c r="H39" s="83"/>
      <c r="J39" s="84"/>
      <c r="K39" s="46"/>
      <c r="L39" s="46"/>
      <c r="M39" s="46"/>
      <c r="N39" s="46"/>
      <c r="O39" s="46"/>
      <c r="P39" s="46"/>
      <c r="Q39" s="83"/>
      <c r="S39" s="84"/>
      <c r="T39" s="46"/>
      <c r="U39" s="46"/>
      <c r="V39" s="46"/>
      <c r="W39" s="46"/>
      <c r="X39" s="46"/>
      <c r="Y39" s="46"/>
      <c r="Z39" s="83"/>
    </row>
    <row r="40" spans="1:26" x14ac:dyDescent="0.3">
      <c r="A40" s="84"/>
      <c r="B40" s="46"/>
      <c r="C40" s="46"/>
      <c r="D40" s="46"/>
      <c r="E40" s="46"/>
      <c r="F40" s="46"/>
      <c r="G40" s="46"/>
      <c r="H40" s="83"/>
      <c r="J40" s="84"/>
      <c r="K40" s="46"/>
      <c r="L40" s="46"/>
      <c r="M40" s="46"/>
      <c r="N40" s="46"/>
      <c r="O40" s="46"/>
      <c r="P40" s="46"/>
      <c r="Q40" s="83"/>
      <c r="S40" s="84"/>
      <c r="T40" s="46"/>
      <c r="U40" s="46"/>
      <c r="V40" s="46"/>
      <c r="W40" s="46"/>
      <c r="X40" s="46"/>
      <c r="Y40" s="46"/>
      <c r="Z40" s="83"/>
    </row>
    <row r="41" spans="1:26" x14ac:dyDescent="0.3">
      <c r="A41" s="84"/>
      <c r="B41" s="46"/>
      <c r="C41" s="46"/>
      <c r="D41" s="46"/>
      <c r="E41" s="46"/>
      <c r="F41" s="46"/>
      <c r="G41" s="46"/>
      <c r="H41" s="83"/>
      <c r="J41" s="84"/>
      <c r="K41" s="46"/>
      <c r="L41" s="46"/>
      <c r="M41" s="46"/>
      <c r="N41" s="46"/>
      <c r="O41" s="46"/>
      <c r="P41" s="46"/>
      <c r="Q41" s="83"/>
      <c r="S41" s="84"/>
      <c r="T41" s="46"/>
      <c r="U41" s="46"/>
      <c r="V41" s="46"/>
      <c r="W41" s="46"/>
      <c r="X41" s="46"/>
      <c r="Y41" s="46"/>
      <c r="Z41" s="83"/>
    </row>
    <row r="42" spans="1:26" x14ac:dyDescent="0.3">
      <c r="A42" s="84"/>
      <c r="B42" s="46"/>
      <c r="C42" s="46"/>
      <c r="D42" s="46"/>
      <c r="E42" s="46"/>
      <c r="F42" s="46"/>
      <c r="G42" s="46"/>
      <c r="H42" s="83"/>
      <c r="J42" s="84"/>
      <c r="K42" s="46"/>
      <c r="L42" s="46"/>
      <c r="M42" s="46"/>
      <c r="N42" s="46"/>
      <c r="O42" s="46"/>
      <c r="P42" s="46"/>
      <c r="Q42" s="83"/>
      <c r="S42" s="84"/>
      <c r="T42" s="46"/>
      <c r="U42" s="46"/>
      <c r="V42" s="46"/>
      <c r="W42" s="46"/>
      <c r="X42" s="46"/>
      <c r="Y42" s="46"/>
      <c r="Z42" s="83"/>
    </row>
    <row r="43" spans="1:26" x14ac:dyDescent="0.3">
      <c r="A43" s="84"/>
      <c r="B43" s="46"/>
      <c r="C43" s="46"/>
      <c r="D43" s="46"/>
      <c r="E43" s="46"/>
      <c r="F43" s="46"/>
      <c r="G43" s="46"/>
      <c r="H43" s="83"/>
      <c r="J43" s="84"/>
      <c r="K43" s="46"/>
      <c r="L43" s="46"/>
      <c r="M43" s="46"/>
      <c r="N43" s="46"/>
      <c r="O43" s="46"/>
      <c r="P43" s="46"/>
      <c r="Q43" s="83"/>
      <c r="S43" s="84"/>
      <c r="T43" s="46"/>
      <c r="U43" s="46"/>
      <c r="V43" s="46"/>
      <c r="W43" s="46"/>
      <c r="X43" s="46"/>
      <c r="Y43" s="46"/>
      <c r="Z43" s="83"/>
    </row>
    <row r="44" spans="1:26" x14ac:dyDescent="0.3">
      <c r="A44" s="84"/>
      <c r="B44" s="46"/>
      <c r="C44" s="46"/>
      <c r="D44" s="46"/>
      <c r="E44" s="46"/>
      <c r="F44" s="46"/>
      <c r="G44" s="46"/>
      <c r="H44" s="83"/>
      <c r="J44" s="84"/>
      <c r="K44" s="46"/>
      <c r="L44" s="46"/>
      <c r="M44" s="46"/>
      <c r="N44" s="46"/>
      <c r="O44" s="46"/>
      <c r="P44" s="46"/>
      <c r="Q44" s="83"/>
      <c r="S44" s="84"/>
      <c r="T44" s="46"/>
      <c r="U44" s="46"/>
      <c r="V44" s="46"/>
      <c r="W44" s="46"/>
      <c r="X44" s="46"/>
      <c r="Y44" s="46"/>
      <c r="Z44" s="83"/>
    </row>
    <row r="45" spans="1:26" ht="15" thickBot="1" x14ac:dyDescent="0.35">
      <c r="A45" s="82"/>
      <c r="B45" s="81"/>
      <c r="C45" s="81"/>
      <c r="D45" s="81"/>
      <c r="E45" s="81"/>
      <c r="F45" s="81"/>
      <c r="G45" s="81"/>
      <c r="H45" s="80"/>
      <c r="J45" s="82"/>
      <c r="K45" s="81"/>
      <c r="L45" s="81"/>
      <c r="M45" s="81"/>
      <c r="N45" s="81"/>
      <c r="O45" s="81"/>
      <c r="P45" s="81"/>
      <c r="Q45" s="80"/>
      <c r="S45" s="82"/>
      <c r="T45" s="81"/>
      <c r="U45" s="81"/>
      <c r="V45" s="81"/>
      <c r="W45" s="81"/>
      <c r="X45" s="81"/>
      <c r="Y45" s="81"/>
      <c r="Z45" s="80"/>
    </row>
    <row r="47" spans="1:26" ht="15" thickBot="1" x14ac:dyDescent="0.35"/>
    <row r="48" spans="1:26" x14ac:dyDescent="0.3">
      <c r="A48" s="87"/>
      <c r="B48" s="86"/>
      <c r="C48" s="232" t="s">
        <v>236</v>
      </c>
      <c r="D48" s="234"/>
      <c r="E48" s="86"/>
      <c r="F48" s="86"/>
      <c r="G48" s="86"/>
      <c r="H48" s="85"/>
      <c r="J48" s="87"/>
      <c r="K48" s="86"/>
      <c r="L48" s="86"/>
      <c r="M48" s="256" t="s">
        <v>237</v>
      </c>
      <c r="N48" s="257"/>
      <c r="O48" s="86"/>
      <c r="P48" s="86"/>
      <c r="Q48" s="85"/>
      <c r="S48" s="87"/>
      <c r="T48" s="86"/>
      <c r="U48" s="86"/>
      <c r="V48" s="238" t="s">
        <v>339</v>
      </c>
      <c r="W48" s="240"/>
      <c r="X48" s="86"/>
      <c r="Y48" s="86"/>
      <c r="Z48" s="85"/>
    </row>
    <row r="49" spans="1:26" ht="15" thickBot="1" x14ac:dyDescent="0.35">
      <c r="A49" s="84"/>
      <c r="B49" s="46"/>
      <c r="C49" s="235"/>
      <c r="D49" s="237"/>
      <c r="E49" s="46"/>
      <c r="F49" s="46"/>
      <c r="G49" s="46"/>
      <c r="H49" s="83"/>
      <c r="J49" s="84"/>
      <c r="K49" s="46"/>
      <c r="L49" s="46"/>
      <c r="M49" s="258"/>
      <c r="N49" s="259"/>
      <c r="O49" s="46"/>
      <c r="P49" s="46"/>
      <c r="Q49" s="83"/>
      <c r="S49" s="84"/>
      <c r="T49" s="46"/>
      <c r="U49" s="46"/>
      <c r="V49" s="241"/>
      <c r="W49" s="243"/>
      <c r="X49" s="46"/>
      <c r="Y49" s="46"/>
      <c r="Z49" s="83"/>
    </row>
    <row r="50" spans="1:26" x14ac:dyDescent="0.3">
      <c r="A50" s="84"/>
      <c r="B50" s="46"/>
      <c r="C50" s="46"/>
      <c r="D50" s="46"/>
      <c r="E50" s="46"/>
      <c r="F50" s="46"/>
      <c r="G50" s="46"/>
      <c r="H50" s="83"/>
      <c r="J50" s="84"/>
      <c r="K50" s="46"/>
      <c r="L50" s="46"/>
      <c r="M50" s="46"/>
      <c r="N50" s="46"/>
      <c r="O50" s="46"/>
      <c r="P50" s="46"/>
      <c r="Q50" s="83"/>
      <c r="S50" s="84"/>
      <c r="T50" s="46"/>
      <c r="U50" s="46"/>
      <c r="V50" s="46"/>
      <c r="W50" s="46"/>
      <c r="X50" s="46"/>
      <c r="Y50" s="46"/>
      <c r="Z50" s="83"/>
    </row>
    <row r="51" spans="1:26" x14ac:dyDescent="0.3">
      <c r="A51" s="84"/>
      <c r="B51" s="46"/>
      <c r="C51" s="46"/>
      <c r="D51" s="46"/>
      <c r="E51" s="46"/>
      <c r="F51" s="46"/>
      <c r="G51" s="46"/>
      <c r="H51" s="83"/>
      <c r="J51" s="84"/>
      <c r="K51" s="46"/>
      <c r="L51" s="46"/>
      <c r="M51" s="46"/>
      <c r="N51" s="46"/>
      <c r="O51" s="46"/>
      <c r="P51" s="46"/>
      <c r="Q51" s="83"/>
      <c r="S51" s="84"/>
      <c r="T51" s="46"/>
      <c r="U51" s="46"/>
      <c r="V51" s="46"/>
      <c r="W51" s="46"/>
      <c r="X51" s="46"/>
      <c r="Y51" s="46"/>
      <c r="Z51" s="83"/>
    </row>
    <row r="52" spans="1:26" x14ac:dyDescent="0.3">
      <c r="A52" s="84"/>
      <c r="B52" s="46"/>
      <c r="C52" s="46"/>
      <c r="D52" s="46"/>
      <c r="E52" s="46"/>
      <c r="F52" s="46"/>
      <c r="G52" s="46"/>
      <c r="H52" s="83"/>
      <c r="J52" s="84"/>
      <c r="K52" s="46"/>
      <c r="L52" s="46"/>
      <c r="M52" s="46"/>
      <c r="N52" s="46"/>
      <c r="O52" s="46"/>
      <c r="P52" s="46"/>
      <c r="Q52" s="83"/>
      <c r="S52" s="84"/>
      <c r="T52" s="46"/>
      <c r="U52" s="46"/>
      <c r="V52" s="46"/>
      <c r="W52" s="46"/>
      <c r="X52" s="46"/>
      <c r="Y52" s="46"/>
      <c r="Z52" s="83"/>
    </row>
    <row r="53" spans="1:26" x14ac:dyDescent="0.3">
      <c r="A53" s="84"/>
      <c r="B53" s="46"/>
      <c r="C53" s="46"/>
      <c r="D53" s="46"/>
      <c r="E53" s="46"/>
      <c r="F53" s="46"/>
      <c r="G53" s="46"/>
      <c r="H53" s="83"/>
      <c r="J53" s="84"/>
      <c r="K53" s="46"/>
      <c r="L53" s="46"/>
      <c r="M53" s="46"/>
      <c r="N53" s="46"/>
      <c r="O53" s="46"/>
      <c r="P53" s="46"/>
      <c r="Q53" s="83"/>
      <c r="S53" s="84"/>
      <c r="T53" s="46"/>
      <c r="U53" s="46"/>
      <c r="V53" s="46"/>
      <c r="W53" s="46"/>
      <c r="X53" s="46"/>
      <c r="Y53" s="46"/>
      <c r="Z53" s="83"/>
    </row>
    <row r="54" spans="1:26" x14ac:dyDescent="0.3">
      <c r="A54" s="84"/>
      <c r="B54" s="46"/>
      <c r="C54" s="46"/>
      <c r="D54" s="46"/>
      <c r="E54" s="46"/>
      <c r="F54" s="46"/>
      <c r="G54" s="46"/>
      <c r="H54" s="83"/>
      <c r="J54" s="84"/>
      <c r="K54" s="46"/>
      <c r="L54" s="46"/>
      <c r="M54" s="46"/>
      <c r="N54" s="46"/>
      <c r="O54" s="46"/>
      <c r="P54" s="46"/>
      <c r="Q54" s="83"/>
      <c r="S54" s="84"/>
      <c r="T54" s="46"/>
      <c r="U54" s="46"/>
      <c r="V54" s="46"/>
      <c r="W54" s="46"/>
      <c r="X54" s="46"/>
      <c r="Y54" s="46"/>
      <c r="Z54" s="83"/>
    </row>
    <row r="55" spans="1:26" x14ac:dyDescent="0.3">
      <c r="A55" s="84"/>
      <c r="B55" s="46"/>
      <c r="C55" s="46"/>
      <c r="D55" s="46"/>
      <c r="E55" s="46"/>
      <c r="F55" s="46"/>
      <c r="G55" s="46"/>
      <c r="H55" s="83"/>
      <c r="J55" s="84"/>
      <c r="K55" s="46"/>
      <c r="L55" s="46"/>
      <c r="M55" s="46"/>
      <c r="N55" s="46"/>
      <c r="O55" s="46"/>
      <c r="P55" s="46"/>
      <c r="Q55" s="83"/>
      <c r="S55" s="84"/>
      <c r="T55" s="46"/>
      <c r="U55" s="46"/>
      <c r="V55" s="46"/>
      <c r="W55" s="46"/>
      <c r="X55" s="46"/>
      <c r="Y55" s="46"/>
      <c r="Z55" s="83"/>
    </row>
    <row r="56" spans="1:26" x14ac:dyDescent="0.3">
      <c r="A56" s="84"/>
      <c r="B56" s="46"/>
      <c r="C56" s="46"/>
      <c r="D56" s="46"/>
      <c r="E56" s="46"/>
      <c r="F56" s="46"/>
      <c r="G56" s="46"/>
      <c r="H56" s="83"/>
      <c r="J56" s="84"/>
      <c r="K56" s="46"/>
      <c r="L56" s="46"/>
      <c r="M56" s="46"/>
      <c r="N56" s="46"/>
      <c r="O56" s="46"/>
      <c r="P56" s="46"/>
      <c r="Q56" s="83"/>
      <c r="S56" s="84"/>
      <c r="T56" s="46"/>
      <c r="U56" s="46"/>
      <c r="V56" s="46"/>
      <c r="W56" s="46"/>
      <c r="X56" s="46"/>
      <c r="Y56" s="46"/>
      <c r="Z56" s="83"/>
    </row>
    <row r="57" spans="1:26" x14ac:dyDescent="0.3">
      <c r="A57" s="84"/>
      <c r="B57" s="46"/>
      <c r="C57" s="46"/>
      <c r="D57" s="46"/>
      <c r="E57" s="46"/>
      <c r="F57" s="46"/>
      <c r="G57" s="46"/>
      <c r="H57" s="83"/>
      <c r="J57" s="84"/>
      <c r="K57" s="46"/>
      <c r="L57" s="46"/>
      <c r="M57" s="46"/>
      <c r="N57" s="46"/>
      <c r="O57" s="46"/>
      <c r="P57" s="46"/>
      <c r="Q57" s="83"/>
      <c r="S57" s="84"/>
      <c r="T57" s="46"/>
      <c r="U57" s="46"/>
      <c r="V57" s="46"/>
      <c r="W57" s="46"/>
      <c r="X57" s="46"/>
      <c r="Y57" s="46"/>
      <c r="Z57" s="83"/>
    </row>
    <row r="58" spans="1:26" x14ac:dyDescent="0.3">
      <c r="A58" s="84"/>
      <c r="B58" s="46"/>
      <c r="C58" s="46"/>
      <c r="D58" s="46"/>
      <c r="E58" s="46"/>
      <c r="F58" s="46"/>
      <c r="G58" s="46"/>
      <c r="H58" s="83"/>
      <c r="J58" s="84"/>
      <c r="K58" s="46"/>
      <c r="L58" s="46"/>
      <c r="M58" s="46"/>
      <c r="N58" s="46"/>
      <c r="O58" s="46"/>
      <c r="P58" s="46"/>
      <c r="Q58" s="83"/>
      <c r="S58" s="84"/>
      <c r="T58" s="46"/>
      <c r="U58" s="46"/>
      <c r="V58" s="46"/>
      <c r="W58" s="46"/>
      <c r="X58" s="46"/>
      <c r="Y58" s="46"/>
      <c r="Z58" s="83"/>
    </row>
    <row r="59" spans="1:26" x14ac:dyDescent="0.3">
      <c r="A59" s="84"/>
      <c r="B59" s="46"/>
      <c r="C59" s="46"/>
      <c r="D59" s="46"/>
      <c r="E59" s="46"/>
      <c r="F59" s="46"/>
      <c r="G59" s="46"/>
      <c r="H59" s="83"/>
      <c r="J59" s="84"/>
      <c r="K59" s="46"/>
      <c r="L59" s="46"/>
      <c r="M59" s="46"/>
      <c r="N59" s="46"/>
      <c r="O59" s="46"/>
      <c r="P59" s="46"/>
      <c r="Q59" s="83"/>
      <c r="S59" s="84"/>
      <c r="T59" s="46"/>
      <c r="U59" s="46"/>
      <c r="V59" s="46"/>
      <c r="W59" s="46"/>
      <c r="X59" s="46"/>
      <c r="Y59" s="46"/>
      <c r="Z59" s="83"/>
    </row>
    <row r="60" spans="1:26" x14ac:dyDescent="0.3">
      <c r="A60" s="84"/>
      <c r="B60" s="46"/>
      <c r="C60" s="46"/>
      <c r="D60" s="46"/>
      <c r="E60" s="46"/>
      <c r="F60" s="46"/>
      <c r="G60" s="46"/>
      <c r="H60" s="83"/>
      <c r="J60" s="84"/>
      <c r="K60" s="46"/>
      <c r="L60" s="46"/>
      <c r="M60" s="46"/>
      <c r="N60" s="46"/>
      <c r="O60" s="46"/>
      <c r="P60" s="46"/>
      <c r="Q60" s="83"/>
      <c r="S60" s="84"/>
      <c r="T60" s="46"/>
      <c r="U60" s="46"/>
      <c r="V60" s="46"/>
      <c r="W60" s="46"/>
      <c r="X60" s="46"/>
      <c r="Y60" s="46"/>
      <c r="Z60" s="83"/>
    </row>
    <row r="61" spans="1:26" x14ac:dyDescent="0.3">
      <c r="A61" s="84"/>
      <c r="B61" s="46"/>
      <c r="C61" s="46"/>
      <c r="D61" s="46"/>
      <c r="E61" s="46"/>
      <c r="F61" s="46"/>
      <c r="G61" s="46"/>
      <c r="H61" s="83"/>
      <c r="J61" s="84"/>
      <c r="K61" s="46"/>
      <c r="L61" s="46"/>
      <c r="M61" s="46"/>
      <c r="N61" s="46"/>
      <c r="O61" s="46"/>
      <c r="P61" s="46"/>
      <c r="Q61" s="83"/>
      <c r="S61" s="84"/>
      <c r="T61" s="46"/>
      <c r="U61" s="46"/>
      <c r="V61" s="46"/>
      <c r="W61" s="46"/>
      <c r="X61" s="46"/>
      <c r="Y61" s="46"/>
      <c r="Z61" s="83"/>
    </row>
    <row r="62" spans="1:26" x14ac:dyDescent="0.3">
      <c r="A62" s="84"/>
      <c r="B62" s="46"/>
      <c r="C62" s="46"/>
      <c r="D62" s="46"/>
      <c r="E62" s="46"/>
      <c r="F62" s="46"/>
      <c r="G62" s="46"/>
      <c r="H62" s="83"/>
      <c r="J62" s="84"/>
      <c r="K62" s="46"/>
      <c r="L62" s="46"/>
      <c r="M62" s="46"/>
      <c r="N62" s="46"/>
      <c r="O62" s="46"/>
      <c r="P62" s="46"/>
      <c r="Q62" s="83"/>
      <c r="S62" s="84"/>
      <c r="T62" s="46"/>
      <c r="U62" s="46"/>
      <c r="V62" s="46"/>
      <c r="W62" s="46"/>
      <c r="X62" s="46"/>
      <c r="Y62" s="46"/>
      <c r="Z62" s="83"/>
    </row>
    <row r="63" spans="1:26" x14ac:dyDescent="0.3">
      <c r="A63" s="84"/>
      <c r="B63" s="46"/>
      <c r="C63" s="46"/>
      <c r="D63" s="46"/>
      <c r="E63" s="46"/>
      <c r="F63" s="46"/>
      <c r="G63" s="46"/>
      <c r="H63" s="83"/>
      <c r="J63" s="84"/>
      <c r="K63" s="46"/>
      <c r="L63" s="46"/>
      <c r="M63" s="46"/>
      <c r="N63" s="46"/>
      <c r="O63" s="46"/>
      <c r="P63" s="46"/>
      <c r="Q63" s="83"/>
      <c r="S63" s="84"/>
      <c r="T63" s="46"/>
      <c r="U63" s="46"/>
      <c r="V63" s="46"/>
      <c r="W63" s="46"/>
      <c r="X63" s="46"/>
      <c r="Y63" s="46"/>
      <c r="Z63" s="83"/>
    </row>
    <row r="64" spans="1:26" x14ac:dyDescent="0.3">
      <c r="A64" s="84"/>
      <c r="B64" s="46"/>
      <c r="C64" s="46"/>
      <c r="D64" s="46"/>
      <c r="E64" s="46"/>
      <c r="F64" s="46"/>
      <c r="G64" s="46"/>
      <c r="H64" s="83"/>
      <c r="J64" s="84"/>
      <c r="K64" s="46"/>
      <c r="L64" s="46"/>
      <c r="M64" s="46"/>
      <c r="N64" s="46"/>
      <c r="O64" s="46"/>
      <c r="P64" s="46"/>
      <c r="Q64" s="83"/>
      <c r="S64" s="84"/>
      <c r="T64" s="46"/>
      <c r="U64" s="46"/>
      <c r="V64" s="46"/>
      <c r="W64" s="46"/>
      <c r="X64" s="46"/>
      <c r="Y64" s="46"/>
      <c r="Z64" s="83"/>
    </row>
    <row r="65" spans="1:26" ht="15" thickBot="1" x14ac:dyDescent="0.35">
      <c r="A65" s="82"/>
      <c r="B65" s="81"/>
      <c r="C65" s="81"/>
      <c r="D65" s="81"/>
      <c r="E65" s="81"/>
      <c r="F65" s="81"/>
      <c r="G65" s="81"/>
      <c r="H65" s="80"/>
      <c r="J65" s="82"/>
      <c r="K65" s="81"/>
      <c r="L65" s="81"/>
      <c r="M65" s="81"/>
      <c r="N65" s="81"/>
      <c r="O65" s="81"/>
      <c r="P65" s="81"/>
      <c r="Q65" s="80"/>
      <c r="S65" s="82"/>
      <c r="T65" s="81"/>
      <c r="U65" s="81"/>
      <c r="V65" s="81"/>
      <c r="W65" s="81"/>
      <c r="X65" s="81"/>
      <c r="Y65" s="81"/>
      <c r="Z65" s="80"/>
    </row>
    <row r="67" spans="1:26" ht="15" thickBot="1" x14ac:dyDescent="0.35"/>
    <row r="68" spans="1:26" x14ac:dyDescent="0.3">
      <c r="A68" s="87"/>
      <c r="B68" s="86"/>
      <c r="C68" s="86"/>
      <c r="D68" s="232" t="s">
        <v>239</v>
      </c>
      <c r="E68" s="234"/>
      <c r="F68" s="86"/>
      <c r="G68" s="86"/>
      <c r="H68" s="85"/>
      <c r="J68" s="87"/>
      <c r="K68" s="86"/>
      <c r="L68" s="86"/>
      <c r="M68" s="232" t="s">
        <v>24</v>
      </c>
      <c r="N68" s="234"/>
      <c r="O68" s="86"/>
      <c r="P68" s="86"/>
      <c r="Q68" s="85"/>
      <c r="S68" s="87"/>
      <c r="T68" s="86"/>
      <c r="U68" s="232" t="s">
        <v>340</v>
      </c>
      <c r="V68" s="233"/>
      <c r="W68" s="233"/>
      <c r="X68" s="234"/>
      <c r="Y68" s="86"/>
      <c r="Z68" s="85"/>
    </row>
    <row r="69" spans="1:26" ht="15" thickBot="1" x14ac:dyDescent="0.35">
      <c r="A69" s="84"/>
      <c r="B69" s="46"/>
      <c r="C69" s="46"/>
      <c r="D69" s="235"/>
      <c r="E69" s="237"/>
      <c r="F69" s="46"/>
      <c r="G69" s="46"/>
      <c r="H69" s="83"/>
      <c r="J69" s="84"/>
      <c r="K69" s="46"/>
      <c r="L69" s="46"/>
      <c r="M69" s="235"/>
      <c r="N69" s="237"/>
      <c r="O69" s="46"/>
      <c r="P69" s="46"/>
      <c r="Q69" s="83"/>
      <c r="S69" s="84"/>
      <c r="T69" s="46"/>
      <c r="U69" s="235"/>
      <c r="V69" s="236"/>
      <c r="W69" s="236"/>
      <c r="X69" s="237"/>
      <c r="Y69" s="46"/>
      <c r="Z69" s="83"/>
    </row>
    <row r="70" spans="1:26" x14ac:dyDescent="0.3">
      <c r="A70" s="84"/>
      <c r="B70" s="46"/>
      <c r="C70" s="46"/>
      <c r="D70" s="46"/>
      <c r="E70" s="46"/>
      <c r="F70" s="46"/>
      <c r="G70" s="46"/>
      <c r="H70" s="83"/>
      <c r="J70" s="84"/>
      <c r="K70" s="46"/>
      <c r="L70" s="46"/>
      <c r="M70" s="46"/>
      <c r="N70" s="46"/>
      <c r="O70" s="46"/>
      <c r="P70" s="46"/>
      <c r="Q70" s="83"/>
      <c r="S70" s="84"/>
      <c r="T70" s="46"/>
      <c r="U70" s="46"/>
      <c r="V70" s="46"/>
      <c r="W70" s="46"/>
      <c r="X70" s="46"/>
      <c r="Y70" s="46"/>
      <c r="Z70" s="83"/>
    </row>
    <row r="71" spans="1:26" x14ac:dyDescent="0.3">
      <c r="A71" s="84"/>
      <c r="B71" s="46"/>
      <c r="C71" s="46"/>
      <c r="D71" s="46"/>
      <c r="E71" s="46"/>
      <c r="F71" s="46"/>
      <c r="G71" s="46"/>
      <c r="H71" s="83"/>
      <c r="J71" s="84"/>
      <c r="K71" s="46"/>
      <c r="L71" s="46"/>
      <c r="M71" s="46"/>
      <c r="N71" s="46"/>
      <c r="O71" s="46"/>
      <c r="P71" s="46"/>
      <c r="Q71" s="83"/>
      <c r="S71" s="84"/>
      <c r="T71" s="46"/>
      <c r="U71" s="46"/>
      <c r="V71" s="46"/>
      <c r="W71" s="46"/>
      <c r="X71" s="46"/>
      <c r="Y71" s="46"/>
      <c r="Z71" s="83"/>
    </row>
    <row r="72" spans="1:26" x14ac:dyDescent="0.3">
      <c r="A72" s="84"/>
      <c r="B72" s="46"/>
      <c r="C72" s="46"/>
      <c r="D72" s="46"/>
      <c r="E72" s="46"/>
      <c r="F72" s="46"/>
      <c r="G72" s="46"/>
      <c r="H72" s="83"/>
      <c r="J72" s="84"/>
      <c r="K72" s="46"/>
      <c r="L72" s="46"/>
      <c r="M72" s="46"/>
      <c r="N72" s="46"/>
      <c r="O72" s="46"/>
      <c r="P72" s="46"/>
      <c r="Q72" s="83"/>
      <c r="S72" s="84"/>
      <c r="T72" s="46"/>
      <c r="U72" s="46"/>
      <c r="V72" s="46"/>
      <c r="W72" s="46"/>
      <c r="X72" s="46"/>
      <c r="Y72" s="46"/>
      <c r="Z72" s="83"/>
    </row>
    <row r="73" spans="1:26" x14ac:dyDescent="0.3">
      <c r="A73" s="84"/>
      <c r="B73" s="46"/>
      <c r="C73" s="46"/>
      <c r="D73" s="46"/>
      <c r="E73" s="46"/>
      <c r="F73" s="46"/>
      <c r="G73" s="46"/>
      <c r="H73" s="83"/>
      <c r="J73" s="84"/>
      <c r="K73" s="46"/>
      <c r="L73" s="46"/>
      <c r="M73" s="46"/>
      <c r="N73" s="46"/>
      <c r="O73" s="46"/>
      <c r="P73" s="46"/>
      <c r="Q73" s="83"/>
      <c r="S73" s="84"/>
      <c r="T73" s="46"/>
      <c r="U73" s="46"/>
      <c r="V73" s="46"/>
      <c r="W73" s="46"/>
      <c r="X73" s="46"/>
      <c r="Y73" s="46"/>
      <c r="Z73" s="83"/>
    </row>
    <row r="74" spans="1:26" x14ac:dyDescent="0.3">
      <c r="A74" s="84"/>
      <c r="B74" s="46"/>
      <c r="C74" s="46"/>
      <c r="D74" s="46"/>
      <c r="E74" s="46"/>
      <c r="F74" s="46"/>
      <c r="G74" s="46"/>
      <c r="H74" s="83"/>
      <c r="J74" s="84"/>
      <c r="K74" s="46"/>
      <c r="L74" s="46"/>
      <c r="M74" s="46"/>
      <c r="N74" s="46"/>
      <c r="O74" s="46"/>
      <c r="P74" s="46"/>
      <c r="Q74" s="83"/>
      <c r="S74" s="84"/>
      <c r="T74" s="46"/>
      <c r="U74" s="46"/>
      <c r="V74" s="46"/>
      <c r="W74" s="46"/>
      <c r="X74" s="46"/>
      <c r="Y74" s="46"/>
      <c r="Z74" s="83"/>
    </row>
    <row r="75" spans="1:26" x14ac:dyDescent="0.3">
      <c r="A75" s="84"/>
      <c r="B75" s="46"/>
      <c r="C75" s="46"/>
      <c r="D75" s="46"/>
      <c r="E75" s="46"/>
      <c r="F75" s="46"/>
      <c r="G75" s="46"/>
      <c r="H75" s="83"/>
      <c r="J75" s="84"/>
      <c r="K75" s="46"/>
      <c r="L75" s="46"/>
      <c r="M75" s="46"/>
      <c r="N75" s="46"/>
      <c r="O75" s="46"/>
      <c r="P75" s="46"/>
      <c r="Q75" s="83"/>
      <c r="S75" s="84"/>
      <c r="T75" s="46"/>
      <c r="U75" s="46"/>
      <c r="V75" s="46"/>
      <c r="W75" s="46"/>
      <c r="X75" s="46"/>
      <c r="Y75" s="46"/>
      <c r="Z75" s="83"/>
    </row>
    <row r="76" spans="1:26" x14ac:dyDescent="0.3">
      <c r="A76" s="84"/>
      <c r="B76" s="46"/>
      <c r="C76" s="46"/>
      <c r="D76" s="46"/>
      <c r="E76" s="46"/>
      <c r="F76" s="46"/>
      <c r="G76" s="46"/>
      <c r="H76" s="83"/>
      <c r="J76" s="84"/>
      <c r="K76" s="46"/>
      <c r="L76" s="46"/>
      <c r="M76" s="46"/>
      <c r="N76" s="46"/>
      <c r="O76" s="46"/>
      <c r="P76" s="46"/>
      <c r="Q76" s="83"/>
      <c r="S76" s="84"/>
      <c r="T76" s="46"/>
      <c r="U76" s="46"/>
      <c r="V76" s="46"/>
      <c r="W76" s="46"/>
      <c r="X76" s="46"/>
      <c r="Y76" s="46"/>
      <c r="Z76" s="83"/>
    </row>
    <row r="77" spans="1:26" x14ac:dyDescent="0.3">
      <c r="A77" s="84"/>
      <c r="B77" s="46"/>
      <c r="C77" s="46"/>
      <c r="D77" s="46"/>
      <c r="E77" s="46"/>
      <c r="F77" s="46"/>
      <c r="G77" s="46"/>
      <c r="H77" s="83"/>
      <c r="J77" s="84"/>
      <c r="K77" s="46"/>
      <c r="L77" s="46"/>
      <c r="M77" s="46"/>
      <c r="N77" s="46"/>
      <c r="O77" s="46"/>
      <c r="P77" s="46"/>
      <c r="Q77" s="83"/>
      <c r="S77" s="84"/>
      <c r="T77" s="46"/>
      <c r="U77" s="46"/>
      <c r="V77" s="46"/>
      <c r="W77" s="46"/>
      <c r="X77" s="46"/>
      <c r="Y77" s="46"/>
      <c r="Z77" s="83"/>
    </row>
    <row r="78" spans="1:26" x14ac:dyDescent="0.3">
      <c r="A78" s="84"/>
      <c r="B78" s="46"/>
      <c r="C78" s="46"/>
      <c r="D78" s="46"/>
      <c r="E78" s="46"/>
      <c r="F78" s="46"/>
      <c r="G78" s="46"/>
      <c r="H78" s="83"/>
      <c r="J78" s="84"/>
      <c r="K78" s="46"/>
      <c r="L78" s="46"/>
      <c r="M78" s="46"/>
      <c r="N78" s="46"/>
      <c r="O78" s="46"/>
      <c r="P78" s="46"/>
      <c r="Q78" s="83"/>
      <c r="S78" s="84"/>
      <c r="T78" s="46"/>
      <c r="U78" s="46"/>
      <c r="V78" s="46"/>
      <c r="W78" s="46"/>
      <c r="X78" s="46"/>
      <c r="Y78" s="46"/>
      <c r="Z78" s="83"/>
    </row>
    <row r="79" spans="1:26" x14ac:dyDescent="0.3">
      <c r="A79" s="84"/>
      <c r="B79" s="46"/>
      <c r="C79" s="46"/>
      <c r="D79" s="46"/>
      <c r="E79" s="46"/>
      <c r="F79" s="46"/>
      <c r="G79" s="46"/>
      <c r="H79" s="83"/>
      <c r="J79" s="84"/>
      <c r="K79" s="46"/>
      <c r="L79" s="46"/>
      <c r="M79" s="46"/>
      <c r="N79" s="46"/>
      <c r="O79" s="46"/>
      <c r="P79" s="46"/>
      <c r="Q79" s="83"/>
      <c r="S79" s="84"/>
      <c r="T79" s="46"/>
      <c r="U79" s="46"/>
      <c r="V79" s="46"/>
      <c r="W79" s="46"/>
      <c r="X79" s="46"/>
      <c r="Y79" s="46"/>
      <c r="Z79" s="83"/>
    </row>
    <row r="80" spans="1:26" x14ac:dyDescent="0.3">
      <c r="A80" s="84"/>
      <c r="B80" s="46"/>
      <c r="C80" s="46"/>
      <c r="D80" s="46"/>
      <c r="E80" s="46"/>
      <c r="F80" s="46"/>
      <c r="G80" s="46"/>
      <c r="H80" s="83"/>
      <c r="J80" s="84"/>
      <c r="K80" s="46"/>
      <c r="L80" s="46"/>
      <c r="M80" s="46"/>
      <c r="N80" s="46"/>
      <c r="O80" s="46"/>
      <c r="P80" s="46"/>
      <c r="Q80" s="83"/>
      <c r="S80" s="84"/>
      <c r="T80" s="46"/>
      <c r="U80" s="46"/>
      <c r="V80" s="46"/>
      <c r="W80" s="46"/>
      <c r="X80" s="46"/>
      <c r="Y80" s="46"/>
      <c r="Z80" s="83"/>
    </row>
    <row r="81" spans="1:26" x14ac:dyDescent="0.3">
      <c r="A81" s="84"/>
      <c r="B81" s="46"/>
      <c r="C81" s="46"/>
      <c r="D81" s="46"/>
      <c r="E81" s="46"/>
      <c r="F81" s="46"/>
      <c r="G81" s="46"/>
      <c r="H81" s="83"/>
      <c r="J81" s="84"/>
      <c r="K81" s="46"/>
      <c r="L81" s="46"/>
      <c r="M81" s="46"/>
      <c r="N81" s="46"/>
      <c r="O81" s="46"/>
      <c r="P81" s="46"/>
      <c r="Q81" s="83"/>
      <c r="S81" s="84"/>
      <c r="T81" s="46"/>
      <c r="U81" s="46"/>
      <c r="V81" s="46"/>
      <c r="W81" s="46"/>
      <c r="X81" s="46"/>
      <c r="Y81" s="46"/>
      <c r="Z81" s="83"/>
    </row>
    <row r="82" spans="1:26" x14ac:dyDescent="0.3">
      <c r="A82" s="84"/>
      <c r="B82" s="46"/>
      <c r="C82" s="46"/>
      <c r="D82" s="46"/>
      <c r="E82" s="46"/>
      <c r="F82" s="46"/>
      <c r="G82" s="46"/>
      <c r="H82" s="83"/>
      <c r="J82" s="84"/>
      <c r="K82" s="46"/>
      <c r="L82" s="46"/>
      <c r="M82" s="46"/>
      <c r="N82" s="46"/>
      <c r="O82" s="46"/>
      <c r="P82" s="46"/>
      <c r="Q82" s="83"/>
      <c r="S82" s="84"/>
      <c r="T82" s="46"/>
      <c r="U82" s="46"/>
      <c r="V82" s="46"/>
      <c r="W82" s="46"/>
      <c r="X82" s="46"/>
      <c r="Y82" s="46"/>
      <c r="Z82" s="83"/>
    </row>
    <row r="83" spans="1:26" x14ac:dyDescent="0.3">
      <c r="A83" s="84"/>
      <c r="B83" s="46"/>
      <c r="C83" s="46"/>
      <c r="D83" s="46"/>
      <c r="E83" s="46"/>
      <c r="F83" s="46"/>
      <c r="G83" s="46"/>
      <c r="H83" s="83"/>
      <c r="J83" s="84"/>
      <c r="K83" s="46"/>
      <c r="L83" s="46"/>
      <c r="M83" s="46"/>
      <c r="N83" s="46"/>
      <c r="O83" s="46"/>
      <c r="P83" s="46"/>
      <c r="Q83" s="83"/>
      <c r="S83" s="84"/>
      <c r="T83" s="46"/>
      <c r="U83" s="46"/>
      <c r="V83" s="46"/>
      <c r="W83" s="46"/>
      <c r="X83" s="46"/>
      <c r="Y83" s="46"/>
      <c r="Z83" s="83"/>
    </row>
    <row r="84" spans="1:26" x14ac:dyDescent="0.3">
      <c r="A84" s="84"/>
      <c r="B84" s="46"/>
      <c r="C84" s="46"/>
      <c r="D84" s="46"/>
      <c r="E84" s="46"/>
      <c r="F84" s="46"/>
      <c r="G84" s="46"/>
      <c r="H84" s="83"/>
      <c r="J84" s="84"/>
      <c r="K84" s="46"/>
      <c r="L84" s="46"/>
      <c r="M84" s="46"/>
      <c r="N84" s="46"/>
      <c r="O84" s="46"/>
      <c r="P84" s="46"/>
      <c r="Q84" s="83"/>
      <c r="S84" s="84"/>
      <c r="T84" s="46"/>
      <c r="U84" s="46"/>
      <c r="V84" s="46"/>
      <c r="W84" s="46"/>
      <c r="X84" s="46"/>
      <c r="Y84" s="46"/>
      <c r="Z84" s="83"/>
    </row>
    <row r="85" spans="1:26" ht="15" thickBot="1" x14ac:dyDescent="0.35">
      <c r="A85" s="82"/>
      <c r="B85" s="81"/>
      <c r="C85" s="81"/>
      <c r="D85" s="81"/>
      <c r="E85" s="81"/>
      <c r="F85" s="81"/>
      <c r="G85" s="81"/>
      <c r="H85" s="80"/>
      <c r="J85" s="82"/>
      <c r="K85" s="81"/>
      <c r="L85" s="81"/>
      <c r="M85" s="81"/>
      <c r="N85" s="81"/>
      <c r="O85" s="81"/>
      <c r="P85" s="81"/>
      <c r="Q85" s="80"/>
      <c r="S85" s="82"/>
      <c r="T85" s="81"/>
      <c r="U85" s="81"/>
      <c r="V85" s="81"/>
      <c r="W85" s="81"/>
      <c r="X85" s="81"/>
      <c r="Y85" s="81"/>
      <c r="Z85" s="80"/>
    </row>
    <row r="87" spans="1:26" ht="15" thickBot="1" x14ac:dyDescent="0.35"/>
    <row r="88" spans="1:26" ht="15" customHeight="1" x14ac:dyDescent="0.3">
      <c r="A88" s="87"/>
      <c r="B88" s="86"/>
      <c r="C88" s="86"/>
      <c r="D88" s="238" t="s">
        <v>20</v>
      </c>
      <c r="E88" s="240"/>
      <c r="F88" s="86"/>
      <c r="G88" s="86"/>
      <c r="H88" s="85"/>
      <c r="J88" s="87"/>
      <c r="K88" s="86"/>
      <c r="L88" s="86"/>
      <c r="M88" s="256" t="s">
        <v>242</v>
      </c>
      <c r="N88" s="257"/>
      <c r="O88" s="86"/>
      <c r="P88" s="86"/>
      <c r="Q88" s="85"/>
    </row>
    <row r="89" spans="1:26" ht="15.75" customHeight="1" thickBot="1" x14ac:dyDescent="0.35">
      <c r="A89" s="84"/>
      <c r="B89" s="46"/>
      <c r="C89" s="46"/>
      <c r="D89" s="241"/>
      <c r="E89" s="243"/>
      <c r="F89" s="46"/>
      <c r="G89" s="46"/>
      <c r="H89" s="83"/>
      <c r="J89" s="84"/>
      <c r="K89" s="46"/>
      <c r="L89" s="46"/>
      <c r="M89" s="258"/>
      <c r="N89" s="259"/>
      <c r="O89" s="46"/>
      <c r="P89" s="46"/>
      <c r="Q89" s="83"/>
    </row>
    <row r="90" spans="1:26" x14ac:dyDescent="0.3">
      <c r="A90" s="84"/>
      <c r="B90" s="46"/>
      <c r="C90" s="46"/>
      <c r="D90" s="46"/>
      <c r="E90" s="46"/>
      <c r="F90" s="46"/>
      <c r="G90" s="46"/>
      <c r="H90" s="83"/>
      <c r="J90" s="84"/>
      <c r="K90" s="46"/>
      <c r="L90" s="46"/>
      <c r="M90" s="46"/>
      <c r="N90" s="46"/>
      <c r="O90" s="46"/>
      <c r="P90" s="46"/>
      <c r="Q90" s="83"/>
    </row>
    <row r="91" spans="1:26" x14ac:dyDescent="0.3">
      <c r="A91" s="84"/>
      <c r="B91" s="46"/>
      <c r="C91" s="46"/>
      <c r="D91" s="46"/>
      <c r="E91" s="46"/>
      <c r="F91" s="46"/>
      <c r="G91" s="46"/>
      <c r="H91" s="83"/>
      <c r="J91" s="84"/>
      <c r="K91" s="46"/>
      <c r="L91" s="46"/>
      <c r="M91" s="46"/>
      <c r="N91" s="46"/>
      <c r="O91" s="46"/>
      <c r="P91" s="46"/>
      <c r="Q91" s="83"/>
    </row>
    <row r="92" spans="1:26" x14ac:dyDescent="0.3">
      <c r="A92" s="84"/>
      <c r="B92" s="46"/>
      <c r="C92" s="46"/>
      <c r="D92" s="46"/>
      <c r="E92" s="46"/>
      <c r="F92" s="46"/>
      <c r="G92" s="46"/>
      <c r="H92" s="83"/>
      <c r="J92" s="84"/>
      <c r="K92" s="46"/>
      <c r="L92" s="46"/>
      <c r="M92" s="46"/>
      <c r="N92" s="46"/>
      <c r="O92" s="46"/>
      <c r="P92" s="46"/>
      <c r="Q92" s="83"/>
    </row>
    <row r="93" spans="1:26" x14ac:dyDescent="0.3">
      <c r="A93" s="84"/>
      <c r="B93" s="46"/>
      <c r="C93" s="46"/>
      <c r="D93" s="46"/>
      <c r="E93" s="46"/>
      <c r="F93" s="46"/>
      <c r="G93" s="46"/>
      <c r="H93" s="83"/>
      <c r="J93" s="84"/>
      <c r="K93" s="46"/>
      <c r="L93" s="46"/>
      <c r="M93" s="46"/>
      <c r="N93" s="46"/>
      <c r="O93" s="46"/>
      <c r="P93" s="46"/>
      <c r="Q93" s="83"/>
    </row>
    <row r="94" spans="1:26" x14ac:dyDescent="0.3">
      <c r="A94" s="84"/>
      <c r="B94" s="46"/>
      <c r="C94" s="46"/>
      <c r="D94" s="46"/>
      <c r="E94" s="46"/>
      <c r="F94" s="46"/>
      <c r="G94" s="46"/>
      <c r="H94" s="83"/>
      <c r="J94" s="84"/>
      <c r="K94" s="46"/>
      <c r="L94" s="46"/>
      <c r="M94" s="46"/>
      <c r="N94" s="46"/>
      <c r="O94" s="46"/>
      <c r="P94" s="46"/>
      <c r="Q94" s="83"/>
    </row>
    <row r="95" spans="1:26" x14ac:dyDescent="0.3">
      <c r="A95" s="84"/>
      <c r="B95" s="46"/>
      <c r="C95" s="46"/>
      <c r="D95" s="46"/>
      <c r="E95" s="46"/>
      <c r="F95" s="46"/>
      <c r="G95" s="46"/>
      <c r="H95" s="83"/>
      <c r="J95" s="84"/>
      <c r="K95" s="46"/>
      <c r="L95" s="46"/>
      <c r="M95" s="46"/>
      <c r="N95" s="46"/>
      <c r="O95" s="46"/>
      <c r="P95" s="46"/>
      <c r="Q95" s="83"/>
    </row>
    <row r="96" spans="1:26" x14ac:dyDescent="0.3">
      <c r="A96" s="84"/>
      <c r="B96" s="46"/>
      <c r="C96" s="46"/>
      <c r="D96" s="46"/>
      <c r="E96" s="46"/>
      <c r="F96" s="46"/>
      <c r="G96" s="46"/>
      <c r="H96" s="83"/>
      <c r="J96" s="84"/>
      <c r="K96" s="46"/>
      <c r="L96" s="46"/>
      <c r="M96" s="46"/>
      <c r="N96" s="46"/>
      <c r="O96" s="46"/>
      <c r="P96" s="46"/>
      <c r="Q96" s="83"/>
    </row>
    <row r="97" spans="1:26" x14ac:dyDescent="0.3">
      <c r="A97" s="84"/>
      <c r="B97" s="46"/>
      <c r="C97" s="46"/>
      <c r="D97" s="46"/>
      <c r="E97" s="46"/>
      <c r="F97" s="46"/>
      <c r="G97" s="46"/>
      <c r="H97" s="83"/>
      <c r="J97" s="84"/>
      <c r="K97" s="46"/>
      <c r="L97" s="46"/>
      <c r="M97" s="46"/>
      <c r="N97" s="46"/>
      <c r="O97" s="46"/>
      <c r="P97" s="46"/>
      <c r="Q97" s="83"/>
    </row>
    <row r="98" spans="1:26" x14ac:dyDescent="0.3">
      <c r="A98" s="84"/>
      <c r="B98" s="46"/>
      <c r="C98" s="46"/>
      <c r="D98" s="46"/>
      <c r="E98" s="46"/>
      <c r="F98" s="46"/>
      <c r="G98" s="46"/>
      <c r="H98" s="83"/>
      <c r="J98" s="84"/>
      <c r="K98" s="46"/>
      <c r="L98" s="46"/>
      <c r="M98" s="46"/>
      <c r="N98" s="46"/>
      <c r="O98" s="46"/>
      <c r="P98" s="46"/>
      <c r="Q98" s="83"/>
    </row>
    <row r="99" spans="1:26" x14ac:dyDescent="0.3">
      <c r="A99" s="84"/>
      <c r="B99" s="46"/>
      <c r="C99" s="46"/>
      <c r="D99" s="46"/>
      <c r="E99" s="46"/>
      <c r="F99" s="46"/>
      <c r="G99" s="46"/>
      <c r="H99" s="83"/>
      <c r="J99" s="84"/>
      <c r="K99" s="46"/>
      <c r="L99" s="46"/>
      <c r="M99" s="46"/>
      <c r="N99" s="46"/>
      <c r="O99" s="46"/>
      <c r="P99" s="46"/>
      <c r="Q99" s="83"/>
    </row>
    <row r="100" spans="1:26" x14ac:dyDescent="0.3">
      <c r="A100" s="84"/>
      <c r="B100" s="46"/>
      <c r="C100" s="46"/>
      <c r="D100" s="46"/>
      <c r="E100" s="46"/>
      <c r="F100" s="46"/>
      <c r="G100" s="46"/>
      <c r="H100" s="83"/>
      <c r="J100" s="84"/>
      <c r="K100" s="46"/>
      <c r="L100" s="46"/>
      <c r="M100" s="46"/>
      <c r="N100" s="46"/>
      <c r="O100" s="46"/>
      <c r="P100" s="46"/>
      <c r="Q100" s="83"/>
    </row>
    <row r="101" spans="1:26" x14ac:dyDescent="0.3">
      <c r="A101" s="84"/>
      <c r="B101" s="46"/>
      <c r="C101" s="46"/>
      <c r="D101" s="46"/>
      <c r="E101" s="46"/>
      <c r="F101" s="46"/>
      <c r="G101" s="46"/>
      <c r="H101" s="83"/>
      <c r="J101" s="84"/>
      <c r="K101" s="46"/>
      <c r="L101" s="46"/>
      <c r="M101" s="46"/>
      <c r="N101" s="46"/>
      <c r="O101" s="46"/>
      <c r="P101" s="46"/>
      <c r="Q101" s="83"/>
    </row>
    <row r="102" spans="1:26" x14ac:dyDescent="0.3">
      <c r="A102" s="84"/>
      <c r="B102" s="46"/>
      <c r="C102" s="46"/>
      <c r="D102" s="46"/>
      <c r="E102" s="46"/>
      <c r="F102" s="46"/>
      <c r="G102" s="46"/>
      <c r="H102" s="83"/>
      <c r="J102" s="84"/>
      <c r="K102" s="46"/>
      <c r="L102" s="46"/>
      <c r="M102" s="46"/>
      <c r="N102" s="46"/>
      <c r="O102" s="46"/>
      <c r="P102" s="46"/>
      <c r="Q102" s="83"/>
    </row>
    <row r="103" spans="1:26" x14ac:dyDescent="0.3">
      <c r="A103" s="84"/>
      <c r="B103" s="46"/>
      <c r="C103" s="46"/>
      <c r="D103" s="46"/>
      <c r="E103" s="46"/>
      <c r="F103" s="46"/>
      <c r="G103" s="46"/>
      <c r="H103" s="83"/>
      <c r="J103" s="84"/>
      <c r="K103" s="46"/>
      <c r="L103" s="46"/>
      <c r="M103" s="46"/>
      <c r="N103" s="46"/>
      <c r="O103" s="46"/>
      <c r="P103" s="46"/>
      <c r="Q103" s="83"/>
    </row>
    <row r="104" spans="1:26" x14ac:dyDescent="0.3">
      <c r="A104" s="84"/>
      <c r="B104" s="46"/>
      <c r="C104" s="46"/>
      <c r="D104" s="46"/>
      <c r="E104" s="46"/>
      <c r="F104" s="46"/>
      <c r="G104" s="46"/>
      <c r="H104" s="83"/>
      <c r="J104" s="84"/>
      <c r="K104" s="46"/>
      <c r="L104" s="46"/>
      <c r="M104" s="46"/>
      <c r="N104" s="46"/>
      <c r="O104" s="46"/>
      <c r="P104" s="46"/>
      <c r="Q104" s="83"/>
    </row>
    <row r="105" spans="1:26" ht="15" thickBot="1" x14ac:dyDescent="0.35">
      <c r="A105" s="82"/>
      <c r="B105" s="81"/>
      <c r="C105" s="81"/>
      <c r="D105" s="81"/>
      <c r="E105" s="81"/>
      <c r="F105" s="81"/>
      <c r="G105" s="81"/>
      <c r="H105" s="80"/>
      <c r="J105" s="82"/>
      <c r="K105" s="81"/>
      <c r="L105" s="81"/>
      <c r="M105" s="81"/>
      <c r="N105" s="81"/>
      <c r="O105" s="81"/>
      <c r="P105" s="81"/>
      <c r="Q105" s="80"/>
    </row>
    <row r="106" spans="1:26" x14ac:dyDescent="0.3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</row>
    <row r="107" spans="1:26" x14ac:dyDescent="0.3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</row>
    <row r="142" spans="1:1" ht="23.4" x14ac:dyDescent="0.45">
      <c r="A142" s="89" t="s">
        <v>28</v>
      </c>
    </row>
    <row r="145" spans="1:30" ht="15" thickBot="1" x14ac:dyDescent="0.35"/>
    <row r="146" spans="1:30" x14ac:dyDescent="0.3">
      <c r="A146" s="125" t="s">
        <v>29</v>
      </c>
      <c r="B146" s="126" t="s">
        <v>342</v>
      </c>
      <c r="C146" s="127" t="s">
        <v>343</v>
      </c>
      <c r="D146" s="127" t="s">
        <v>344</v>
      </c>
      <c r="E146" s="127" t="s">
        <v>345</v>
      </c>
      <c r="F146" s="127" t="s">
        <v>7</v>
      </c>
      <c r="G146" s="127" t="s">
        <v>347</v>
      </c>
      <c r="H146" s="126" t="s">
        <v>348</v>
      </c>
      <c r="I146" s="126" t="s">
        <v>349</v>
      </c>
      <c r="J146" s="126" t="s">
        <v>350</v>
      </c>
      <c r="K146" s="128" t="s">
        <v>353</v>
      </c>
      <c r="L146" s="126" t="s">
        <v>8</v>
      </c>
      <c r="M146" s="126" t="s">
        <v>359</v>
      </c>
      <c r="N146" s="94" t="s">
        <v>473</v>
      </c>
      <c r="O146" s="126" t="s">
        <v>13</v>
      </c>
      <c r="P146" s="129" t="s">
        <v>12</v>
      </c>
      <c r="Q146" s="129" t="s">
        <v>46</v>
      </c>
      <c r="R146" s="129" t="s">
        <v>10</v>
      </c>
      <c r="S146" s="130" t="s">
        <v>9</v>
      </c>
      <c r="T146" s="129" t="s">
        <v>46</v>
      </c>
      <c r="AD146" s="142"/>
    </row>
    <row r="147" spans="1:30" x14ac:dyDescent="0.3">
      <c r="A147" s="94" t="s">
        <v>474</v>
      </c>
      <c r="B147" s="94"/>
      <c r="C147" s="141">
        <v>23385</v>
      </c>
      <c r="D147" s="141">
        <v>12636</v>
      </c>
      <c r="E147" s="141">
        <v>36018</v>
      </c>
      <c r="F147" s="141">
        <v>26.4</v>
      </c>
      <c r="G147" s="141">
        <v>223.4</v>
      </c>
      <c r="H147" s="141">
        <v>30</v>
      </c>
      <c r="I147" s="141">
        <v>9.9</v>
      </c>
      <c r="J147" s="141">
        <v>19.2</v>
      </c>
      <c r="K147" s="141"/>
      <c r="L147" s="141"/>
      <c r="M147" s="141">
        <v>44175</v>
      </c>
      <c r="N147" s="141"/>
      <c r="O147" s="115">
        <f t="shared" ref="O147:O165" si="0">CONVERT(F147,"kn","m/sec")/SQRT(9.81*G147)</f>
        <v>0.29011241905889407</v>
      </c>
      <c r="P147" s="115">
        <f>G147/(Q147*G147*H147*I147)^(1/3)</f>
        <v>6.8017846401505571</v>
      </c>
      <c r="Q147" s="141">
        <v>0.53400000000000003</v>
      </c>
      <c r="R147" s="115">
        <f t="shared" ref="R147:R165" si="1">H147/I147</f>
        <v>3.0303030303030303</v>
      </c>
      <c r="S147" s="132">
        <f t="shared" ref="S147:S165" si="2">G147/H147</f>
        <v>7.4466666666666672</v>
      </c>
      <c r="T147" s="115">
        <f>0.27/(O147^(3/5))</f>
        <v>0.56731461507356618</v>
      </c>
      <c r="AD147" s="141"/>
    </row>
    <row r="148" spans="1:30" x14ac:dyDescent="0.3">
      <c r="A148" s="94" t="s">
        <v>475</v>
      </c>
      <c r="B148" s="94"/>
      <c r="C148" s="94">
        <v>34330</v>
      </c>
      <c r="D148" s="94"/>
      <c r="E148" s="94">
        <f>T148*G148*H148*I148</f>
        <v>46317.31566591197</v>
      </c>
      <c r="F148" s="94">
        <v>19.899999999999999</v>
      </c>
      <c r="G148" s="94">
        <v>204</v>
      </c>
      <c r="H148" s="94">
        <v>32.200000000000003</v>
      </c>
      <c r="I148" s="94">
        <v>10.78</v>
      </c>
      <c r="J148" s="94">
        <v>19</v>
      </c>
      <c r="K148" s="94"/>
      <c r="L148" s="94"/>
      <c r="M148" s="94">
        <v>20954</v>
      </c>
      <c r="N148" s="94"/>
      <c r="O148" s="115">
        <f t="shared" si="0"/>
        <v>0.22884528589053593</v>
      </c>
      <c r="P148" s="115">
        <f>G148/(Q148*G148*H148*I148)^(1/3)</f>
        <v>5.6804451868979182</v>
      </c>
      <c r="Q148" s="115">
        <f t="shared" ref="Q148:Q165" si="3">0.27/(O148^(3/5))</f>
        <v>0.65409161499032098</v>
      </c>
      <c r="R148" s="115">
        <f t="shared" si="1"/>
        <v>2.9870129870129873</v>
      </c>
      <c r="S148" s="132">
        <f t="shared" si="2"/>
        <v>6.3354037267080736</v>
      </c>
      <c r="T148" s="115">
        <f t="shared" ref="T148:T165" si="4">0.27/(O148^(3/5))</f>
        <v>0.65409161499032098</v>
      </c>
    </row>
    <row r="149" spans="1:30" x14ac:dyDescent="0.3">
      <c r="A149" s="94" t="s">
        <v>476</v>
      </c>
      <c r="B149" s="94"/>
      <c r="C149" s="94"/>
      <c r="D149" s="94"/>
      <c r="E149" s="94">
        <f t="shared" ref="E149:E165" si="5">T149*G149*H149*I149</f>
        <v>91290.436846718905</v>
      </c>
      <c r="F149" s="94">
        <v>25</v>
      </c>
      <c r="G149" s="94">
        <v>264.39999999999998</v>
      </c>
      <c r="H149" s="94">
        <v>40</v>
      </c>
      <c r="I149" s="94">
        <v>14</v>
      </c>
      <c r="J149" s="94">
        <v>24.3</v>
      </c>
      <c r="K149" s="94"/>
      <c r="L149" s="94"/>
      <c r="M149" s="94">
        <v>54900</v>
      </c>
      <c r="N149" s="94"/>
      <c r="O149" s="115">
        <f t="shared" si="0"/>
        <v>0.25253016421925928</v>
      </c>
      <c r="P149" s="115"/>
      <c r="Q149" s="115">
        <f t="shared" si="3"/>
        <v>0.6165606551674877</v>
      </c>
      <c r="R149" s="115"/>
      <c r="S149" s="132">
        <f t="shared" si="2"/>
        <v>6.6099999999999994</v>
      </c>
      <c r="T149" s="115">
        <f t="shared" si="4"/>
        <v>0.6165606551674877</v>
      </c>
    </row>
    <row r="150" spans="1:30" x14ac:dyDescent="0.3">
      <c r="A150" s="94" t="s">
        <v>477</v>
      </c>
      <c r="B150" s="94"/>
      <c r="C150" s="94">
        <v>156907</v>
      </c>
      <c r="D150" s="94"/>
      <c r="E150" s="94">
        <f t="shared" si="5"/>
        <v>238877.76669341407</v>
      </c>
      <c r="F150" s="94">
        <v>25.5</v>
      </c>
      <c r="G150" s="94">
        <v>397</v>
      </c>
      <c r="H150" s="94">
        <v>56.4</v>
      </c>
      <c r="I150" s="94">
        <v>15.5</v>
      </c>
      <c r="J150" s="94">
        <v>30</v>
      </c>
      <c r="K150" s="94"/>
      <c r="L150" s="94"/>
      <c r="M150" s="94">
        <v>80080</v>
      </c>
      <c r="N150" s="94"/>
      <c r="O150" s="115">
        <f t="shared" si="0"/>
        <v>0.21020783773339133</v>
      </c>
      <c r="P150" s="115">
        <f t="shared" ref="P150:P165" si="6">G150/(Q150*G150*H150*I150)^(1/3)</f>
        <v>6.3983097854868873</v>
      </c>
      <c r="Q150" s="115">
        <f t="shared" si="3"/>
        <v>0.68829469330840976</v>
      </c>
      <c r="R150" s="115">
        <f t="shared" si="1"/>
        <v>3.6387096774193548</v>
      </c>
      <c r="S150" s="132">
        <f t="shared" si="2"/>
        <v>7.0390070921985819</v>
      </c>
      <c r="T150" s="115">
        <f t="shared" si="4"/>
        <v>0.68829469330840976</v>
      </c>
    </row>
    <row r="151" spans="1:30" x14ac:dyDescent="0.3">
      <c r="A151" s="140" t="s">
        <v>478</v>
      </c>
      <c r="B151" s="140">
        <v>2007</v>
      </c>
      <c r="C151" s="140">
        <v>17023</v>
      </c>
      <c r="D151" s="140"/>
      <c r="E151" s="94">
        <f t="shared" si="5"/>
        <v>28007.101331956277</v>
      </c>
      <c r="F151" s="140">
        <v>21.7</v>
      </c>
      <c r="G151" s="140">
        <v>190.42</v>
      </c>
      <c r="H151" s="140">
        <v>31</v>
      </c>
      <c r="I151" s="140">
        <v>7.8</v>
      </c>
      <c r="J151" s="140"/>
      <c r="K151" s="140">
        <v>657</v>
      </c>
      <c r="L151" s="140">
        <v>12</v>
      </c>
      <c r="M151" s="140">
        <v>21600</v>
      </c>
      <c r="N151" s="140">
        <v>2</v>
      </c>
      <c r="O151" s="115">
        <f t="shared" si="0"/>
        <v>0.25828990427608145</v>
      </c>
      <c r="P151" s="115">
        <f t="shared" si="6"/>
        <v>6.270321944839047</v>
      </c>
      <c r="Q151" s="115">
        <f t="shared" si="3"/>
        <v>0.60827407274877465</v>
      </c>
      <c r="R151" s="115">
        <f t="shared" si="1"/>
        <v>3.9743589743589745</v>
      </c>
      <c r="S151" s="132">
        <f t="shared" si="2"/>
        <v>6.1425806451612903</v>
      </c>
      <c r="T151" s="115">
        <f t="shared" si="4"/>
        <v>0.60827407274877465</v>
      </c>
    </row>
    <row r="152" spans="1:30" x14ac:dyDescent="0.3">
      <c r="A152" s="140" t="s">
        <v>479</v>
      </c>
      <c r="B152" s="140">
        <v>1995</v>
      </c>
      <c r="C152" s="140">
        <v>5817</v>
      </c>
      <c r="D152" s="140"/>
      <c r="E152" s="94">
        <f t="shared" si="5"/>
        <v>9019.8963375215917</v>
      </c>
      <c r="F152" s="140">
        <v>14</v>
      </c>
      <c r="G152" s="140">
        <v>99.2</v>
      </c>
      <c r="H152" s="140">
        <v>21.5</v>
      </c>
      <c r="I152" s="140">
        <v>6.5</v>
      </c>
      <c r="J152" s="140">
        <v>15</v>
      </c>
      <c r="K152" s="140"/>
      <c r="L152" s="140">
        <v>4</v>
      </c>
      <c r="M152" s="140">
        <f>2*2940</f>
        <v>5880</v>
      </c>
      <c r="N152" s="140">
        <v>1</v>
      </c>
      <c r="O152" s="115">
        <f t="shared" si="0"/>
        <v>0.23087461141596874</v>
      </c>
      <c r="P152" s="115">
        <f t="shared" si="6"/>
        <v>4.7655294385056486</v>
      </c>
      <c r="Q152" s="115">
        <f t="shared" si="3"/>
        <v>0.65063595255940843</v>
      </c>
      <c r="R152" s="115">
        <f t="shared" si="1"/>
        <v>3.3076923076923075</v>
      </c>
      <c r="S152" s="132">
        <f t="shared" si="2"/>
        <v>4.6139534883720934</v>
      </c>
      <c r="T152" s="115">
        <f t="shared" si="4"/>
        <v>0.65063595255940843</v>
      </c>
    </row>
    <row r="153" spans="1:30" x14ac:dyDescent="0.3">
      <c r="A153" s="140" t="s">
        <v>855</v>
      </c>
      <c r="B153" s="140">
        <v>2021</v>
      </c>
      <c r="C153" s="140">
        <v>216900</v>
      </c>
      <c r="D153" s="140"/>
      <c r="E153" s="94">
        <f t="shared" si="5"/>
        <v>315475.9220182944</v>
      </c>
      <c r="F153" s="140">
        <v>20</v>
      </c>
      <c r="G153" s="140">
        <v>400</v>
      </c>
      <c r="H153" s="140">
        <v>61</v>
      </c>
      <c r="I153" s="140">
        <v>16.2</v>
      </c>
      <c r="J153" s="140"/>
      <c r="K153" s="140"/>
      <c r="L153" s="140"/>
      <c r="M153" s="140"/>
      <c r="N153" s="140"/>
      <c r="O153" s="115">
        <f t="shared" si="0"/>
        <v>0.16424947039162707</v>
      </c>
      <c r="P153" s="115">
        <f t="shared" si="6"/>
        <v>5.8758574602267393</v>
      </c>
      <c r="Q153" s="115">
        <f t="shared" si="3"/>
        <v>0.79810747322984821</v>
      </c>
      <c r="R153" s="115">
        <f t="shared" si="1"/>
        <v>3.7654320987654324</v>
      </c>
      <c r="S153" s="132">
        <f t="shared" si="2"/>
        <v>6.557377049180328</v>
      </c>
      <c r="T153" s="115">
        <f t="shared" si="4"/>
        <v>0.79810747322984821</v>
      </c>
    </row>
    <row r="154" spans="1:30" x14ac:dyDescent="0.3">
      <c r="A154" s="140" t="s">
        <v>856</v>
      </c>
      <c r="B154" s="140">
        <v>2018</v>
      </c>
      <c r="C154" s="140">
        <v>39819</v>
      </c>
      <c r="D154" s="140"/>
      <c r="E154" s="94">
        <f t="shared" si="5"/>
        <v>64713.502634163218</v>
      </c>
      <c r="F154" s="140">
        <v>15</v>
      </c>
      <c r="G154" s="140">
        <v>200</v>
      </c>
      <c r="H154" s="140">
        <v>35</v>
      </c>
      <c r="I154" s="140">
        <v>12</v>
      </c>
      <c r="J154" s="140"/>
      <c r="K154" s="140"/>
      <c r="L154" s="140"/>
      <c r="M154" s="140"/>
      <c r="N154" s="140"/>
      <c r="O154" s="115">
        <f t="shared" si="0"/>
        <v>0.17421287148032782</v>
      </c>
      <c r="P154" s="115">
        <f t="shared" si="6"/>
        <v>4.9815561142152145</v>
      </c>
      <c r="Q154" s="115">
        <f t="shared" si="3"/>
        <v>0.77039884088289545</v>
      </c>
      <c r="R154" s="115">
        <f t="shared" si="1"/>
        <v>2.9166666666666665</v>
      </c>
      <c r="S154" s="132">
        <f t="shared" si="2"/>
        <v>5.7142857142857144</v>
      </c>
      <c r="T154" s="115">
        <f t="shared" si="4"/>
        <v>0.77039884088289545</v>
      </c>
    </row>
    <row r="155" spans="1:30" x14ac:dyDescent="0.3">
      <c r="A155" s="140" t="s">
        <v>857</v>
      </c>
      <c r="B155" s="140">
        <v>2019</v>
      </c>
      <c r="C155" s="140">
        <v>37621</v>
      </c>
      <c r="D155" s="140"/>
      <c r="E155" s="94">
        <f t="shared" si="5"/>
        <v>41916.201396927419</v>
      </c>
      <c r="F155" s="140">
        <v>19.100000000000001</v>
      </c>
      <c r="G155" s="140">
        <v>186</v>
      </c>
      <c r="H155" s="140">
        <v>36</v>
      </c>
      <c r="I155" s="140">
        <v>9.6</v>
      </c>
      <c r="J155" s="140"/>
      <c r="K155" s="140"/>
      <c r="L155" s="140"/>
      <c r="M155" s="140"/>
      <c r="N155" s="140"/>
      <c r="O155" s="115">
        <f t="shared" si="0"/>
        <v>0.23002808982765022</v>
      </c>
      <c r="P155" s="115">
        <f t="shared" si="6"/>
        <v>5.3545005982858944</v>
      </c>
      <c r="Q155" s="115">
        <f t="shared" si="3"/>
        <v>0.65207153208581337</v>
      </c>
      <c r="R155" s="115">
        <f t="shared" si="1"/>
        <v>3.75</v>
      </c>
      <c r="S155" s="132">
        <f t="shared" si="2"/>
        <v>5.166666666666667</v>
      </c>
      <c r="T155" s="115">
        <f t="shared" si="4"/>
        <v>0.65207153208581337</v>
      </c>
    </row>
    <row r="156" spans="1:30" x14ac:dyDescent="0.3">
      <c r="A156" s="140" t="s">
        <v>858</v>
      </c>
      <c r="B156" s="140">
        <v>1997</v>
      </c>
      <c r="C156" s="140">
        <v>34770</v>
      </c>
      <c r="D156" s="140"/>
      <c r="E156" s="94">
        <f t="shared" si="5"/>
        <v>56044.064837253354</v>
      </c>
      <c r="F156" s="140">
        <v>13</v>
      </c>
      <c r="G156" s="140">
        <v>192</v>
      </c>
      <c r="H156" s="140">
        <v>32</v>
      </c>
      <c r="I156" s="140">
        <v>11</v>
      </c>
      <c r="J156" s="140"/>
      <c r="K156" s="140"/>
      <c r="L156" s="140"/>
      <c r="M156" s="140"/>
      <c r="N156" s="140"/>
      <c r="O156" s="115">
        <f t="shared" si="0"/>
        <v>0.15409789841039648</v>
      </c>
      <c r="P156" s="115">
        <f t="shared" si="6"/>
        <v>5.0171607927230797</v>
      </c>
      <c r="Q156" s="115">
        <f t="shared" si="3"/>
        <v>0.82925048587318528</v>
      </c>
      <c r="R156" s="115">
        <f t="shared" si="1"/>
        <v>2.9090909090909092</v>
      </c>
      <c r="S156" s="132">
        <f t="shared" si="2"/>
        <v>6</v>
      </c>
      <c r="T156" s="115">
        <f t="shared" si="4"/>
        <v>0.82925048587318528</v>
      </c>
    </row>
    <row r="157" spans="1:30" x14ac:dyDescent="0.3">
      <c r="A157" s="140" t="s">
        <v>859</v>
      </c>
      <c r="B157" s="140"/>
      <c r="C157" s="140">
        <v>37056</v>
      </c>
      <c r="D157" s="140"/>
      <c r="E157" s="94">
        <f t="shared" si="5"/>
        <v>47067.000667312954</v>
      </c>
      <c r="F157" s="140">
        <v>18</v>
      </c>
      <c r="G157" s="140">
        <v>186</v>
      </c>
      <c r="H157" s="140">
        <v>35</v>
      </c>
      <c r="I157" s="140">
        <v>10.7</v>
      </c>
      <c r="J157" s="140"/>
      <c r="K157" s="140"/>
      <c r="L157" s="140"/>
      <c r="M157" s="140"/>
      <c r="N157" s="140"/>
      <c r="O157" s="115">
        <f t="shared" si="0"/>
        <v>0.21678039879045571</v>
      </c>
      <c r="P157" s="115">
        <f t="shared" si="6"/>
        <v>5.1515838091501811</v>
      </c>
      <c r="Q157" s="115">
        <f t="shared" si="3"/>
        <v>0.67569663734173102</v>
      </c>
      <c r="R157" s="115">
        <f t="shared" si="1"/>
        <v>3.2710280373831777</v>
      </c>
      <c r="S157" s="132">
        <f t="shared" si="2"/>
        <v>5.3142857142857141</v>
      </c>
      <c r="T157" s="115">
        <f t="shared" si="4"/>
        <v>0.67569663734173102</v>
      </c>
    </row>
    <row r="158" spans="1:30" x14ac:dyDescent="0.3">
      <c r="A158" s="140" t="s">
        <v>860</v>
      </c>
      <c r="B158" s="140">
        <v>2018</v>
      </c>
      <c r="C158" s="140">
        <v>34350</v>
      </c>
      <c r="D158" s="140"/>
      <c r="E158" s="94">
        <f t="shared" si="5"/>
        <v>59998.48551628588</v>
      </c>
      <c r="F158" s="140">
        <v>12</v>
      </c>
      <c r="G158" s="140">
        <v>195</v>
      </c>
      <c r="H158" s="140">
        <v>32</v>
      </c>
      <c r="I158" s="140">
        <v>11</v>
      </c>
      <c r="J158" s="140"/>
      <c r="K158" s="140"/>
      <c r="L158" s="140"/>
      <c r="M158" s="140"/>
      <c r="N158" s="140"/>
      <c r="O158" s="115">
        <f t="shared" si="0"/>
        <v>0.1411457865606523</v>
      </c>
      <c r="P158" s="115">
        <f t="shared" si="6"/>
        <v>4.9810532204883957</v>
      </c>
      <c r="Q158" s="115">
        <f t="shared" si="3"/>
        <v>0.8741038099691999</v>
      </c>
      <c r="R158" s="115">
        <f t="shared" si="1"/>
        <v>2.9090909090909092</v>
      </c>
      <c r="S158" s="132">
        <f t="shared" si="2"/>
        <v>6.09375</v>
      </c>
      <c r="T158" s="115">
        <f t="shared" si="4"/>
        <v>0.8741038099691999</v>
      </c>
    </row>
    <row r="159" spans="1:30" x14ac:dyDescent="0.3">
      <c r="A159" s="140" t="s">
        <v>861</v>
      </c>
      <c r="B159" s="140">
        <v>2005</v>
      </c>
      <c r="C159" s="140">
        <v>15219</v>
      </c>
      <c r="D159" s="140"/>
      <c r="E159" s="94">
        <f t="shared" si="5"/>
        <v>22021.663486093945</v>
      </c>
      <c r="F159" s="140">
        <v>16.399999999999999</v>
      </c>
      <c r="G159" s="140">
        <v>147</v>
      </c>
      <c r="H159" s="140">
        <v>25</v>
      </c>
      <c r="I159" s="140">
        <v>9</v>
      </c>
      <c r="J159" s="140"/>
      <c r="K159" s="140"/>
      <c r="L159" s="140"/>
      <c r="M159" s="140"/>
      <c r="N159" s="140"/>
      <c r="O159" s="115">
        <f t="shared" si="0"/>
        <v>0.22217191507081335</v>
      </c>
      <c r="P159" s="115">
        <f t="shared" si="6"/>
        <v>5.2444581898356093</v>
      </c>
      <c r="Q159" s="115">
        <f t="shared" si="3"/>
        <v>0.66580993155234913</v>
      </c>
      <c r="R159" s="115">
        <f t="shared" si="1"/>
        <v>2.7777777777777777</v>
      </c>
      <c r="S159" s="132">
        <f t="shared" si="2"/>
        <v>5.88</v>
      </c>
      <c r="T159" s="115">
        <f t="shared" si="4"/>
        <v>0.66580993155234913</v>
      </c>
    </row>
    <row r="160" spans="1:30" x14ac:dyDescent="0.3">
      <c r="A160" s="140" t="s">
        <v>862</v>
      </c>
      <c r="B160" s="140">
        <v>1998</v>
      </c>
      <c r="C160" s="140">
        <v>5269</v>
      </c>
      <c r="D160" s="140"/>
      <c r="E160" s="94">
        <f t="shared" si="5"/>
        <v>8897.1093416091298</v>
      </c>
      <c r="F160" s="140">
        <v>12</v>
      </c>
      <c r="G160" s="140">
        <v>99</v>
      </c>
      <c r="H160" s="140">
        <v>18</v>
      </c>
      <c r="I160" s="140">
        <v>7</v>
      </c>
      <c r="J160" s="140"/>
      <c r="K160" s="140"/>
      <c r="L160" s="140"/>
      <c r="M160" s="140"/>
      <c r="N160" s="140"/>
      <c r="O160" s="115">
        <f t="shared" si="0"/>
        <v>0.19809231465586022</v>
      </c>
      <c r="P160" s="115">
        <f t="shared" si="6"/>
        <v>4.777700100415549</v>
      </c>
      <c r="Q160" s="115">
        <f t="shared" si="3"/>
        <v>0.71325231213797735</v>
      </c>
      <c r="R160" s="115">
        <f t="shared" si="1"/>
        <v>2.5714285714285716</v>
      </c>
      <c r="S160" s="132">
        <f t="shared" si="2"/>
        <v>5.5</v>
      </c>
      <c r="T160" s="115">
        <f t="shared" si="4"/>
        <v>0.71325231213797735</v>
      </c>
    </row>
    <row r="161" spans="1:20" x14ac:dyDescent="0.3">
      <c r="A161" s="140" t="s">
        <v>863</v>
      </c>
      <c r="B161" s="140">
        <v>2006</v>
      </c>
      <c r="C161" s="140">
        <v>2713</v>
      </c>
      <c r="D161" s="140"/>
      <c r="E161" s="94">
        <f t="shared" si="5"/>
        <v>5994.978577918876</v>
      </c>
      <c r="F161" s="140">
        <v>12</v>
      </c>
      <c r="G161" s="140">
        <v>80</v>
      </c>
      <c r="H161" s="140">
        <v>16</v>
      </c>
      <c r="I161" s="140">
        <v>7</v>
      </c>
      <c r="J161" s="140"/>
      <c r="K161" s="140"/>
      <c r="L161" s="140"/>
      <c r="M161" s="140"/>
      <c r="N161" s="140"/>
      <c r="O161" s="115">
        <f t="shared" si="0"/>
        <v>0.2203637886384103</v>
      </c>
      <c r="P161" s="115">
        <f t="shared" si="6"/>
        <v>4.4037985264673267</v>
      </c>
      <c r="Q161" s="115">
        <f t="shared" si="3"/>
        <v>0.66908243057130312</v>
      </c>
      <c r="R161" s="115">
        <f t="shared" si="1"/>
        <v>2.2857142857142856</v>
      </c>
      <c r="S161" s="132">
        <f t="shared" si="2"/>
        <v>5</v>
      </c>
      <c r="T161" s="115">
        <f t="shared" si="4"/>
        <v>0.66908243057130312</v>
      </c>
    </row>
    <row r="162" spans="1:20" x14ac:dyDescent="0.3">
      <c r="A162" s="140" t="s">
        <v>864</v>
      </c>
      <c r="B162" s="140">
        <v>2011</v>
      </c>
      <c r="C162" s="140">
        <v>2565</v>
      </c>
      <c r="D162" s="140"/>
      <c r="E162" s="94">
        <f t="shared" si="5"/>
        <v>3427.6009372514386</v>
      </c>
      <c r="F162" s="140">
        <v>10</v>
      </c>
      <c r="G162" s="140">
        <v>80</v>
      </c>
      <c r="H162" s="140">
        <v>14</v>
      </c>
      <c r="I162" s="140">
        <v>4.0999999999999996</v>
      </c>
      <c r="J162" s="140"/>
      <c r="K162" s="140"/>
      <c r="L162" s="140"/>
      <c r="M162" s="140"/>
      <c r="N162" s="140"/>
      <c r="O162" s="115">
        <f t="shared" si="0"/>
        <v>0.18363649053200859</v>
      </c>
      <c r="P162" s="115">
        <f t="shared" si="6"/>
        <v>5.305910288038115</v>
      </c>
      <c r="Q162" s="115">
        <f t="shared" si="3"/>
        <v>0.7464287755338499</v>
      </c>
      <c r="R162" s="115">
        <f t="shared" si="1"/>
        <v>3.4146341463414638</v>
      </c>
      <c r="S162" s="132">
        <f t="shared" si="2"/>
        <v>5.7142857142857144</v>
      </c>
      <c r="T162" s="115">
        <f t="shared" si="4"/>
        <v>0.7464287755338499</v>
      </c>
    </row>
    <row r="163" spans="1:20" x14ac:dyDescent="0.3">
      <c r="A163" s="140" t="s">
        <v>865</v>
      </c>
      <c r="B163" s="140">
        <v>2012</v>
      </c>
      <c r="C163" s="140">
        <v>131477</v>
      </c>
      <c r="D163" s="140"/>
      <c r="E163" s="94">
        <f t="shared" si="5"/>
        <v>179132.94672960549</v>
      </c>
      <c r="F163" s="140">
        <v>20</v>
      </c>
      <c r="G163" s="140">
        <v>347</v>
      </c>
      <c r="H163" s="140">
        <v>45</v>
      </c>
      <c r="I163" s="140">
        <v>15</v>
      </c>
      <c r="J163" s="140"/>
      <c r="K163" s="140"/>
      <c r="L163" s="140"/>
      <c r="M163" s="140"/>
      <c r="N163" s="140"/>
      <c r="O163" s="115">
        <f t="shared" si="0"/>
        <v>0.17634747113337187</v>
      </c>
      <c r="P163" s="115">
        <f t="shared" si="6"/>
        <v>6.1556084161771825</v>
      </c>
      <c r="Q163" s="115">
        <f t="shared" si="3"/>
        <v>0.76479003833751946</v>
      </c>
      <c r="R163" s="115">
        <f t="shared" si="1"/>
        <v>3</v>
      </c>
      <c r="S163" s="132">
        <f t="shared" si="2"/>
        <v>7.7111111111111112</v>
      </c>
      <c r="T163" s="115">
        <f t="shared" si="4"/>
        <v>0.76479003833751946</v>
      </c>
    </row>
    <row r="164" spans="1:20" x14ac:dyDescent="0.3">
      <c r="A164" s="140" t="s">
        <v>866</v>
      </c>
      <c r="B164" s="140">
        <v>2015</v>
      </c>
      <c r="C164" s="140">
        <v>115657</v>
      </c>
      <c r="D164" s="140"/>
      <c r="E164" s="94">
        <f t="shared" si="5"/>
        <v>137052.07045622452</v>
      </c>
      <c r="F164" s="140">
        <v>20</v>
      </c>
      <c r="G164" s="140">
        <v>300</v>
      </c>
      <c r="H164" s="140">
        <v>48</v>
      </c>
      <c r="I164" s="140">
        <v>13</v>
      </c>
      <c r="J164" s="140"/>
      <c r="K164" s="140"/>
      <c r="L164" s="140"/>
      <c r="M164" s="140"/>
      <c r="N164" s="140"/>
      <c r="O164" s="115">
        <f t="shared" si="0"/>
        <v>0.18965895188971871</v>
      </c>
      <c r="P164" s="115">
        <f t="shared" si="6"/>
        <v>5.8187011787908194</v>
      </c>
      <c r="Q164" s="115">
        <f t="shared" si="3"/>
        <v>0.73211576098410536</v>
      </c>
      <c r="R164" s="115">
        <f t="shared" si="1"/>
        <v>3.6923076923076925</v>
      </c>
      <c r="S164" s="132">
        <f t="shared" si="2"/>
        <v>6.25</v>
      </c>
      <c r="T164" s="115">
        <f t="shared" si="4"/>
        <v>0.73211576098410536</v>
      </c>
    </row>
    <row r="165" spans="1:20" x14ac:dyDescent="0.3">
      <c r="A165" s="140" t="s">
        <v>867</v>
      </c>
      <c r="B165" s="140">
        <v>2013</v>
      </c>
      <c r="C165" s="140">
        <v>80163</v>
      </c>
      <c r="D165" s="140"/>
      <c r="E165" s="94">
        <f t="shared" si="5"/>
        <v>115295.60822010272</v>
      </c>
      <c r="F165" s="140">
        <v>20</v>
      </c>
      <c r="G165" s="140">
        <v>270</v>
      </c>
      <c r="H165" s="140">
        <v>43</v>
      </c>
      <c r="I165" s="140">
        <v>14</v>
      </c>
      <c r="J165" s="140"/>
      <c r="K165" s="140"/>
      <c r="L165" s="140"/>
      <c r="M165" s="140"/>
      <c r="N165" s="140"/>
      <c r="O165" s="115">
        <f t="shared" si="0"/>
        <v>0.19991808887060233</v>
      </c>
      <c r="P165" s="115">
        <f t="shared" si="6"/>
        <v>5.5474429239424872</v>
      </c>
      <c r="Q165" s="115">
        <f t="shared" si="3"/>
        <v>0.709336829211903</v>
      </c>
      <c r="R165" s="115">
        <f t="shared" si="1"/>
        <v>3.0714285714285716</v>
      </c>
      <c r="S165" s="132">
        <f t="shared" si="2"/>
        <v>6.2790697674418601</v>
      </c>
      <c r="T165" s="115">
        <f t="shared" si="4"/>
        <v>0.709336829211903</v>
      </c>
    </row>
  </sheetData>
  <mergeCells count="13">
    <mergeCell ref="A1:C1"/>
    <mergeCell ref="A23:C24"/>
    <mergeCell ref="D68:E69"/>
    <mergeCell ref="M68:N69"/>
    <mergeCell ref="U68:X69"/>
    <mergeCell ref="D88:E89"/>
    <mergeCell ref="M88:N89"/>
    <mergeCell ref="C28:F29"/>
    <mergeCell ref="L28:O29"/>
    <mergeCell ref="U28:X29"/>
    <mergeCell ref="C48:D49"/>
    <mergeCell ref="M48:N49"/>
    <mergeCell ref="V48:W49"/>
  </mergeCells>
  <pageMargins left="0.7" right="0.7" top="0.75" bottom="0.75" header="0.3" footer="0.3"/>
  <pageSetup orientation="portrait" horizont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8C524-C492-4991-8092-78CF44C28E77}">
  <sheetPr codeName="Sheet5"/>
  <dimension ref="A1:Z164"/>
  <sheetViews>
    <sheetView zoomScale="40" zoomScaleNormal="40" workbookViewId="0">
      <selection activeCell="F27" sqref="F27"/>
    </sheetView>
  </sheetViews>
  <sheetFormatPr defaultColWidth="17.21875" defaultRowHeight="13.5" customHeight="1" x14ac:dyDescent="0.3"/>
  <cols>
    <col min="1" max="1" width="18.5546875" style="138" customWidth="1"/>
    <col min="2" max="2" width="10.21875" style="138" customWidth="1"/>
    <col min="3" max="4" width="17.21875" style="138" customWidth="1"/>
    <col min="5" max="5" width="11.21875" style="138" customWidth="1"/>
    <col min="6" max="6" width="17.21875" style="138" customWidth="1"/>
    <col min="7" max="7" width="17.5546875" style="138" customWidth="1"/>
    <col min="8" max="8" width="16.21875" style="138" customWidth="1"/>
    <col min="9" max="9" width="15.44140625" style="138" customWidth="1"/>
    <col min="10" max="10" width="20.21875" style="138" customWidth="1"/>
    <col min="11" max="26" width="17.21875" style="138" customWidth="1"/>
    <col min="27" max="256" width="17.21875" style="138"/>
    <col min="257" max="257" width="18.5546875" style="138" customWidth="1"/>
    <col min="258" max="258" width="10.21875" style="138" customWidth="1"/>
    <col min="259" max="260" width="17.21875" style="138"/>
    <col min="261" max="261" width="11.21875" style="138" customWidth="1"/>
    <col min="262" max="262" width="17.21875" style="138"/>
    <col min="263" max="263" width="17.5546875" style="138" customWidth="1"/>
    <col min="264" max="264" width="16.21875" style="138" customWidth="1"/>
    <col min="265" max="265" width="15.44140625" style="138" customWidth="1"/>
    <col min="266" max="266" width="20.21875" style="138" customWidth="1"/>
    <col min="267" max="512" width="17.21875" style="138"/>
    <col min="513" max="513" width="18.5546875" style="138" customWidth="1"/>
    <col min="514" max="514" width="10.21875" style="138" customWidth="1"/>
    <col min="515" max="516" width="17.21875" style="138"/>
    <col min="517" max="517" width="11.21875" style="138" customWidth="1"/>
    <col min="518" max="518" width="17.21875" style="138"/>
    <col min="519" max="519" width="17.5546875" style="138" customWidth="1"/>
    <col min="520" max="520" width="16.21875" style="138" customWidth="1"/>
    <col min="521" max="521" width="15.44140625" style="138" customWidth="1"/>
    <col min="522" max="522" width="20.21875" style="138" customWidth="1"/>
    <col min="523" max="768" width="17.21875" style="138"/>
    <col min="769" max="769" width="18.5546875" style="138" customWidth="1"/>
    <col min="770" max="770" width="10.21875" style="138" customWidth="1"/>
    <col min="771" max="772" width="17.21875" style="138"/>
    <col min="773" max="773" width="11.21875" style="138" customWidth="1"/>
    <col min="774" max="774" width="17.21875" style="138"/>
    <col min="775" max="775" width="17.5546875" style="138" customWidth="1"/>
    <col min="776" max="776" width="16.21875" style="138" customWidth="1"/>
    <col min="777" max="777" width="15.44140625" style="138" customWidth="1"/>
    <col min="778" max="778" width="20.21875" style="138" customWidth="1"/>
    <col min="779" max="1024" width="17.21875" style="138"/>
    <col min="1025" max="1025" width="18.5546875" style="138" customWidth="1"/>
    <col min="1026" max="1026" width="10.21875" style="138" customWidth="1"/>
    <col min="1027" max="1028" width="17.21875" style="138"/>
    <col min="1029" max="1029" width="11.21875" style="138" customWidth="1"/>
    <col min="1030" max="1030" width="17.21875" style="138"/>
    <col min="1031" max="1031" width="17.5546875" style="138" customWidth="1"/>
    <col min="1032" max="1032" width="16.21875" style="138" customWidth="1"/>
    <col min="1033" max="1033" width="15.44140625" style="138" customWidth="1"/>
    <col min="1034" max="1034" width="20.21875" style="138" customWidth="1"/>
    <col min="1035" max="1280" width="17.21875" style="138"/>
    <col min="1281" max="1281" width="18.5546875" style="138" customWidth="1"/>
    <col min="1282" max="1282" width="10.21875" style="138" customWidth="1"/>
    <col min="1283" max="1284" width="17.21875" style="138"/>
    <col min="1285" max="1285" width="11.21875" style="138" customWidth="1"/>
    <col min="1286" max="1286" width="17.21875" style="138"/>
    <col min="1287" max="1287" width="17.5546875" style="138" customWidth="1"/>
    <col min="1288" max="1288" width="16.21875" style="138" customWidth="1"/>
    <col min="1289" max="1289" width="15.44140625" style="138" customWidth="1"/>
    <col min="1290" max="1290" width="20.21875" style="138" customWidth="1"/>
    <col min="1291" max="1536" width="17.21875" style="138"/>
    <col min="1537" max="1537" width="18.5546875" style="138" customWidth="1"/>
    <col min="1538" max="1538" width="10.21875" style="138" customWidth="1"/>
    <col min="1539" max="1540" width="17.21875" style="138"/>
    <col min="1541" max="1541" width="11.21875" style="138" customWidth="1"/>
    <col min="1542" max="1542" width="17.21875" style="138"/>
    <col min="1543" max="1543" width="17.5546875" style="138" customWidth="1"/>
    <col min="1544" max="1544" width="16.21875" style="138" customWidth="1"/>
    <col min="1545" max="1545" width="15.44140625" style="138" customWidth="1"/>
    <col min="1546" max="1546" width="20.21875" style="138" customWidth="1"/>
    <col min="1547" max="1792" width="17.21875" style="138"/>
    <col min="1793" max="1793" width="18.5546875" style="138" customWidth="1"/>
    <col min="1794" max="1794" width="10.21875" style="138" customWidth="1"/>
    <col min="1795" max="1796" width="17.21875" style="138"/>
    <col min="1797" max="1797" width="11.21875" style="138" customWidth="1"/>
    <col min="1798" max="1798" width="17.21875" style="138"/>
    <col min="1799" max="1799" width="17.5546875" style="138" customWidth="1"/>
    <col min="1800" max="1800" width="16.21875" style="138" customWidth="1"/>
    <col min="1801" max="1801" width="15.44140625" style="138" customWidth="1"/>
    <col min="1802" max="1802" width="20.21875" style="138" customWidth="1"/>
    <col min="1803" max="2048" width="17.21875" style="138"/>
    <col min="2049" max="2049" width="18.5546875" style="138" customWidth="1"/>
    <col min="2050" max="2050" width="10.21875" style="138" customWidth="1"/>
    <col min="2051" max="2052" width="17.21875" style="138"/>
    <col min="2053" max="2053" width="11.21875" style="138" customWidth="1"/>
    <col min="2054" max="2054" width="17.21875" style="138"/>
    <col min="2055" max="2055" width="17.5546875" style="138" customWidth="1"/>
    <col min="2056" max="2056" width="16.21875" style="138" customWidth="1"/>
    <col min="2057" max="2057" width="15.44140625" style="138" customWidth="1"/>
    <col min="2058" max="2058" width="20.21875" style="138" customWidth="1"/>
    <col min="2059" max="2304" width="17.21875" style="138"/>
    <col min="2305" max="2305" width="18.5546875" style="138" customWidth="1"/>
    <col min="2306" max="2306" width="10.21875" style="138" customWidth="1"/>
    <col min="2307" max="2308" width="17.21875" style="138"/>
    <col min="2309" max="2309" width="11.21875" style="138" customWidth="1"/>
    <col min="2310" max="2310" width="17.21875" style="138"/>
    <col min="2311" max="2311" width="17.5546875" style="138" customWidth="1"/>
    <col min="2312" max="2312" width="16.21875" style="138" customWidth="1"/>
    <col min="2313" max="2313" width="15.44140625" style="138" customWidth="1"/>
    <col min="2314" max="2314" width="20.21875" style="138" customWidth="1"/>
    <col min="2315" max="2560" width="17.21875" style="138"/>
    <col min="2561" max="2561" width="18.5546875" style="138" customWidth="1"/>
    <col min="2562" max="2562" width="10.21875" style="138" customWidth="1"/>
    <col min="2563" max="2564" width="17.21875" style="138"/>
    <col min="2565" max="2565" width="11.21875" style="138" customWidth="1"/>
    <col min="2566" max="2566" width="17.21875" style="138"/>
    <col min="2567" max="2567" width="17.5546875" style="138" customWidth="1"/>
    <col min="2568" max="2568" width="16.21875" style="138" customWidth="1"/>
    <col min="2569" max="2569" width="15.44140625" style="138" customWidth="1"/>
    <col min="2570" max="2570" width="20.21875" style="138" customWidth="1"/>
    <col min="2571" max="2816" width="17.21875" style="138"/>
    <col min="2817" max="2817" width="18.5546875" style="138" customWidth="1"/>
    <col min="2818" max="2818" width="10.21875" style="138" customWidth="1"/>
    <col min="2819" max="2820" width="17.21875" style="138"/>
    <col min="2821" max="2821" width="11.21875" style="138" customWidth="1"/>
    <col min="2822" max="2822" width="17.21875" style="138"/>
    <col min="2823" max="2823" width="17.5546875" style="138" customWidth="1"/>
    <col min="2824" max="2824" width="16.21875" style="138" customWidth="1"/>
    <col min="2825" max="2825" width="15.44140625" style="138" customWidth="1"/>
    <col min="2826" max="2826" width="20.21875" style="138" customWidth="1"/>
    <col min="2827" max="3072" width="17.21875" style="138"/>
    <col min="3073" max="3073" width="18.5546875" style="138" customWidth="1"/>
    <col min="3074" max="3074" width="10.21875" style="138" customWidth="1"/>
    <col min="3075" max="3076" width="17.21875" style="138"/>
    <col min="3077" max="3077" width="11.21875" style="138" customWidth="1"/>
    <col min="3078" max="3078" width="17.21875" style="138"/>
    <col min="3079" max="3079" width="17.5546875" style="138" customWidth="1"/>
    <col min="3080" max="3080" width="16.21875" style="138" customWidth="1"/>
    <col min="3081" max="3081" width="15.44140625" style="138" customWidth="1"/>
    <col min="3082" max="3082" width="20.21875" style="138" customWidth="1"/>
    <col min="3083" max="3328" width="17.21875" style="138"/>
    <col min="3329" max="3329" width="18.5546875" style="138" customWidth="1"/>
    <col min="3330" max="3330" width="10.21875" style="138" customWidth="1"/>
    <col min="3331" max="3332" width="17.21875" style="138"/>
    <col min="3333" max="3333" width="11.21875" style="138" customWidth="1"/>
    <col min="3334" max="3334" width="17.21875" style="138"/>
    <col min="3335" max="3335" width="17.5546875" style="138" customWidth="1"/>
    <col min="3336" max="3336" width="16.21875" style="138" customWidth="1"/>
    <col min="3337" max="3337" width="15.44140625" style="138" customWidth="1"/>
    <col min="3338" max="3338" width="20.21875" style="138" customWidth="1"/>
    <col min="3339" max="3584" width="17.21875" style="138"/>
    <col min="3585" max="3585" width="18.5546875" style="138" customWidth="1"/>
    <col min="3586" max="3586" width="10.21875" style="138" customWidth="1"/>
    <col min="3587" max="3588" width="17.21875" style="138"/>
    <col min="3589" max="3589" width="11.21875" style="138" customWidth="1"/>
    <col min="3590" max="3590" width="17.21875" style="138"/>
    <col min="3591" max="3591" width="17.5546875" style="138" customWidth="1"/>
    <col min="3592" max="3592" width="16.21875" style="138" customWidth="1"/>
    <col min="3593" max="3593" width="15.44140625" style="138" customWidth="1"/>
    <col min="3594" max="3594" width="20.21875" style="138" customWidth="1"/>
    <col min="3595" max="3840" width="17.21875" style="138"/>
    <col min="3841" max="3841" width="18.5546875" style="138" customWidth="1"/>
    <col min="3842" max="3842" width="10.21875" style="138" customWidth="1"/>
    <col min="3843" max="3844" width="17.21875" style="138"/>
    <col min="3845" max="3845" width="11.21875" style="138" customWidth="1"/>
    <col min="3846" max="3846" width="17.21875" style="138"/>
    <col min="3847" max="3847" width="17.5546875" style="138" customWidth="1"/>
    <col min="3848" max="3848" width="16.21875" style="138" customWidth="1"/>
    <col min="3849" max="3849" width="15.44140625" style="138" customWidth="1"/>
    <col min="3850" max="3850" width="20.21875" style="138" customWidth="1"/>
    <col min="3851" max="4096" width="17.21875" style="138"/>
    <col min="4097" max="4097" width="18.5546875" style="138" customWidth="1"/>
    <col min="4098" max="4098" width="10.21875" style="138" customWidth="1"/>
    <col min="4099" max="4100" width="17.21875" style="138"/>
    <col min="4101" max="4101" width="11.21875" style="138" customWidth="1"/>
    <col min="4102" max="4102" width="17.21875" style="138"/>
    <col min="4103" max="4103" width="17.5546875" style="138" customWidth="1"/>
    <col min="4104" max="4104" width="16.21875" style="138" customWidth="1"/>
    <col min="4105" max="4105" width="15.44140625" style="138" customWidth="1"/>
    <col min="4106" max="4106" width="20.21875" style="138" customWidth="1"/>
    <col min="4107" max="4352" width="17.21875" style="138"/>
    <col min="4353" max="4353" width="18.5546875" style="138" customWidth="1"/>
    <col min="4354" max="4354" width="10.21875" style="138" customWidth="1"/>
    <col min="4355" max="4356" width="17.21875" style="138"/>
    <col min="4357" max="4357" width="11.21875" style="138" customWidth="1"/>
    <col min="4358" max="4358" width="17.21875" style="138"/>
    <col min="4359" max="4359" width="17.5546875" style="138" customWidth="1"/>
    <col min="4360" max="4360" width="16.21875" style="138" customWidth="1"/>
    <col min="4361" max="4361" width="15.44140625" style="138" customWidth="1"/>
    <col min="4362" max="4362" width="20.21875" style="138" customWidth="1"/>
    <col min="4363" max="4608" width="17.21875" style="138"/>
    <col min="4609" max="4609" width="18.5546875" style="138" customWidth="1"/>
    <col min="4610" max="4610" width="10.21875" style="138" customWidth="1"/>
    <col min="4611" max="4612" width="17.21875" style="138"/>
    <col min="4613" max="4613" width="11.21875" style="138" customWidth="1"/>
    <col min="4614" max="4614" width="17.21875" style="138"/>
    <col min="4615" max="4615" width="17.5546875" style="138" customWidth="1"/>
    <col min="4616" max="4616" width="16.21875" style="138" customWidth="1"/>
    <col min="4617" max="4617" width="15.44140625" style="138" customWidth="1"/>
    <col min="4618" max="4618" width="20.21875" style="138" customWidth="1"/>
    <col min="4619" max="4864" width="17.21875" style="138"/>
    <col min="4865" max="4865" width="18.5546875" style="138" customWidth="1"/>
    <col min="4866" max="4866" width="10.21875" style="138" customWidth="1"/>
    <col min="4867" max="4868" width="17.21875" style="138"/>
    <col min="4869" max="4869" width="11.21875" style="138" customWidth="1"/>
    <col min="4870" max="4870" width="17.21875" style="138"/>
    <col min="4871" max="4871" width="17.5546875" style="138" customWidth="1"/>
    <col min="4872" max="4872" width="16.21875" style="138" customWidth="1"/>
    <col min="4873" max="4873" width="15.44140625" style="138" customWidth="1"/>
    <col min="4874" max="4874" width="20.21875" style="138" customWidth="1"/>
    <col min="4875" max="5120" width="17.21875" style="138"/>
    <col min="5121" max="5121" width="18.5546875" style="138" customWidth="1"/>
    <col min="5122" max="5122" width="10.21875" style="138" customWidth="1"/>
    <col min="5123" max="5124" width="17.21875" style="138"/>
    <col min="5125" max="5125" width="11.21875" style="138" customWidth="1"/>
    <col min="5126" max="5126" width="17.21875" style="138"/>
    <col min="5127" max="5127" width="17.5546875" style="138" customWidth="1"/>
    <col min="5128" max="5128" width="16.21875" style="138" customWidth="1"/>
    <col min="5129" max="5129" width="15.44140625" style="138" customWidth="1"/>
    <col min="5130" max="5130" width="20.21875" style="138" customWidth="1"/>
    <col min="5131" max="5376" width="17.21875" style="138"/>
    <col min="5377" max="5377" width="18.5546875" style="138" customWidth="1"/>
    <col min="5378" max="5378" width="10.21875" style="138" customWidth="1"/>
    <col min="5379" max="5380" width="17.21875" style="138"/>
    <col min="5381" max="5381" width="11.21875" style="138" customWidth="1"/>
    <col min="5382" max="5382" width="17.21875" style="138"/>
    <col min="5383" max="5383" width="17.5546875" style="138" customWidth="1"/>
    <col min="5384" max="5384" width="16.21875" style="138" customWidth="1"/>
    <col min="5385" max="5385" width="15.44140625" style="138" customWidth="1"/>
    <col min="5386" max="5386" width="20.21875" style="138" customWidth="1"/>
    <col min="5387" max="5632" width="17.21875" style="138"/>
    <col min="5633" max="5633" width="18.5546875" style="138" customWidth="1"/>
    <col min="5634" max="5634" width="10.21875" style="138" customWidth="1"/>
    <col min="5635" max="5636" width="17.21875" style="138"/>
    <col min="5637" max="5637" width="11.21875" style="138" customWidth="1"/>
    <col min="5638" max="5638" width="17.21875" style="138"/>
    <col min="5639" max="5639" width="17.5546875" style="138" customWidth="1"/>
    <col min="5640" max="5640" width="16.21875" style="138" customWidth="1"/>
    <col min="5641" max="5641" width="15.44140625" style="138" customWidth="1"/>
    <col min="5642" max="5642" width="20.21875" style="138" customWidth="1"/>
    <col min="5643" max="5888" width="17.21875" style="138"/>
    <col min="5889" max="5889" width="18.5546875" style="138" customWidth="1"/>
    <col min="5890" max="5890" width="10.21875" style="138" customWidth="1"/>
    <col min="5891" max="5892" width="17.21875" style="138"/>
    <col min="5893" max="5893" width="11.21875" style="138" customWidth="1"/>
    <col min="5894" max="5894" width="17.21875" style="138"/>
    <col min="5895" max="5895" width="17.5546875" style="138" customWidth="1"/>
    <col min="5896" max="5896" width="16.21875" style="138" customWidth="1"/>
    <col min="5897" max="5897" width="15.44140625" style="138" customWidth="1"/>
    <col min="5898" max="5898" width="20.21875" style="138" customWidth="1"/>
    <col min="5899" max="6144" width="17.21875" style="138"/>
    <col min="6145" max="6145" width="18.5546875" style="138" customWidth="1"/>
    <col min="6146" max="6146" width="10.21875" style="138" customWidth="1"/>
    <col min="6147" max="6148" width="17.21875" style="138"/>
    <col min="6149" max="6149" width="11.21875" style="138" customWidth="1"/>
    <col min="6150" max="6150" width="17.21875" style="138"/>
    <col min="6151" max="6151" width="17.5546875" style="138" customWidth="1"/>
    <col min="6152" max="6152" width="16.21875" style="138" customWidth="1"/>
    <col min="6153" max="6153" width="15.44140625" style="138" customWidth="1"/>
    <col min="6154" max="6154" width="20.21875" style="138" customWidth="1"/>
    <col min="6155" max="6400" width="17.21875" style="138"/>
    <col min="6401" max="6401" width="18.5546875" style="138" customWidth="1"/>
    <col min="6402" max="6402" width="10.21875" style="138" customWidth="1"/>
    <col min="6403" max="6404" width="17.21875" style="138"/>
    <col min="6405" max="6405" width="11.21875" style="138" customWidth="1"/>
    <col min="6406" max="6406" width="17.21875" style="138"/>
    <col min="6407" max="6407" width="17.5546875" style="138" customWidth="1"/>
    <col min="6408" max="6408" width="16.21875" style="138" customWidth="1"/>
    <col min="6409" max="6409" width="15.44140625" style="138" customWidth="1"/>
    <col min="6410" max="6410" width="20.21875" style="138" customWidth="1"/>
    <col min="6411" max="6656" width="17.21875" style="138"/>
    <col min="6657" max="6657" width="18.5546875" style="138" customWidth="1"/>
    <col min="6658" max="6658" width="10.21875" style="138" customWidth="1"/>
    <col min="6659" max="6660" width="17.21875" style="138"/>
    <col min="6661" max="6661" width="11.21875" style="138" customWidth="1"/>
    <col min="6662" max="6662" width="17.21875" style="138"/>
    <col min="6663" max="6663" width="17.5546875" style="138" customWidth="1"/>
    <col min="6664" max="6664" width="16.21875" style="138" customWidth="1"/>
    <col min="6665" max="6665" width="15.44140625" style="138" customWidth="1"/>
    <col min="6666" max="6666" width="20.21875" style="138" customWidth="1"/>
    <col min="6667" max="6912" width="17.21875" style="138"/>
    <col min="6913" max="6913" width="18.5546875" style="138" customWidth="1"/>
    <col min="6914" max="6914" width="10.21875" style="138" customWidth="1"/>
    <col min="6915" max="6916" width="17.21875" style="138"/>
    <col min="6917" max="6917" width="11.21875" style="138" customWidth="1"/>
    <col min="6918" max="6918" width="17.21875" style="138"/>
    <col min="6919" max="6919" width="17.5546875" style="138" customWidth="1"/>
    <col min="6920" max="6920" width="16.21875" style="138" customWidth="1"/>
    <col min="6921" max="6921" width="15.44140625" style="138" customWidth="1"/>
    <col min="6922" max="6922" width="20.21875" style="138" customWidth="1"/>
    <col min="6923" max="7168" width="17.21875" style="138"/>
    <col min="7169" max="7169" width="18.5546875" style="138" customWidth="1"/>
    <col min="7170" max="7170" width="10.21875" style="138" customWidth="1"/>
    <col min="7171" max="7172" width="17.21875" style="138"/>
    <col min="7173" max="7173" width="11.21875" style="138" customWidth="1"/>
    <col min="7174" max="7174" width="17.21875" style="138"/>
    <col min="7175" max="7175" width="17.5546875" style="138" customWidth="1"/>
    <col min="7176" max="7176" width="16.21875" style="138" customWidth="1"/>
    <col min="7177" max="7177" width="15.44140625" style="138" customWidth="1"/>
    <col min="7178" max="7178" width="20.21875" style="138" customWidth="1"/>
    <col min="7179" max="7424" width="17.21875" style="138"/>
    <col min="7425" max="7425" width="18.5546875" style="138" customWidth="1"/>
    <col min="7426" max="7426" width="10.21875" style="138" customWidth="1"/>
    <col min="7427" max="7428" width="17.21875" style="138"/>
    <col min="7429" max="7429" width="11.21875" style="138" customWidth="1"/>
    <col min="7430" max="7430" width="17.21875" style="138"/>
    <col min="7431" max="7431" width="17.5546875" style="138" customWidth="1"/>
    <col min="7432" max="7432" width="16.21875" style="138" customWidth="1"/>
    <col min="7433" max="7433" width="15.44140625" style="138" customWidth="1"/>
    <col min="7434" max="7434" width="20.21875" style="138" customWidth="1"/>
    <col min="7435" max="7680" width="17.21875" style="138"/>
    <col min="7681" max="7681" width="18.5546875" style="138" customWidth="1"/>
    <col min="7682" max="7682" width="10.21875" style="138" customWidth="1"/>
    <col min="7683" max="7684" width="17.21875" style="138"/>
    <col min="7685" max="7685" width="11.21875" style="138" customWidth="1"/>
    <col min="7686" max="7686" width="17.21875" style="138"/>
    <col min="7687" max="7687" width="17.5546875" style="138" customWidth="1"/>
    <col min="7688" max="7688" width="16.21875" style="138" customWidth="1"/>
    <col min="7689" max="7689" width="15.44140625" style="138" customWidth="1"/>
    <col min="7690" max="7690" width="20.21875" style="138" customWidth="1"/>
    <col min="7691" max="7936" width="17.21875" style="138"/>
    <col min="7937" max="7937" width="18.5546875" style="138" customWidth="1"/>
    <col min="7938" max="7938" width="10.21875" style="138" customWidth="1"/>
    <col min="7939" max="7940" width="17.21875" style="138"/>
    <col min="7941" max="7941" width="11.21875" style="138" customWidth="1"/>
    <col min="7942" max="7942" width="17.21875" style="138"/>
    <col min="7943" max="7943" width="17.5546875" style="138" customWidth="1"/>
    <col min="7944" max="7944" width="16.21875" style="138" customWidth="1"/>
    <col min="7945" max="7945" width="15.44140625" style="138" customWidth="1"/>
    <col min="7946" max="7946" width="20.21875" style="138" customWidth="1"/>
    <col min="7947" max="8192" width="17.21875" style="138"/>
    <col min="8193" max="8193" width="18.5546875" style="138" customWidth="1"/>
    <col min="8194" max="8194" width="10.21875" style="138" customWidth="1"/>
    <col min="8195" max="8196" width="17.21875" style="138"/>
    <col min="8197" max="8197" width="11.21875" style="138" customWidth="1"/>
    <col min="8198" max="8198" width="17.21875" style="138"/>
    <col min="8199" max="8199" width="17.5546875" style="138" customWidth="1"/>
    <col min="8200" max="8200" width="16.21875" style="138" customWidth="1"/>
    <col min="8201" max="8201" width="15.44140625" style="138" customWidth="1"/>
    <col min="8202" max="8202" width="20.21875" style="138" customWidth="1"/>
    <col min="8203" max="8448" width="17.21875" style="138"/>
    <col min="8449" max="8449" width="18.5546875" style="138" customWidth="1"/>
    <col min="8450" max="8450" width="10.21875" style="138" customWidth="1"/>
    <col min="8451" max="8452" width="17.21875" style="138"/>
    <col min="8453" max="8453" width="11.21875" style="138" customWidth="1"/>
    <col min="8454" max="8454" width="17.21875" style="138"/>
    <col min="8455" max="8455" width="17.5546875" style="138" customWidth="1"/>
    <col min="8456" max="8456" width="16.21875" style="138" customWidth="1"/>
    <col min="8457" max="8457" width="15.44140625" style="138" customWidth="1"/>
    <col min="8458" max="8458" width="20.21875" style="138" customWidth="1"/>
    <col min="8459" max="8704" width="17.21875" style="138"/>
    <col min="8705" max="8705" width="18.5546875" style="138" customWidth="1"/>
    <col min="8706" max="8706" width="10.21875" style="138" customWidth="1"/>
    <col min="8707" max="8708" width="17.21875" style="138"/>
    <col min="8709" max="8709" width="11.21875" style="138" customWidth="1"/>
    <col min="8710" max="8710" width="17.21875" style="138"/>
    <col min="8711" max="8711" width="17.5546875" style="138" customWidth="1"/>
    <col min="8712" max="8712" width="16.21875" style="138" customWidth="1"/>
    <col min="8713" max="8713" width="15.44140625" style="138" customWidth="1"/>
    <col min="8714" max="8714" width="20.21875" style="138" customWidth="1"/>
    <col min="8715" max="8960" width="17.21875" style="138"/>
    <col min="8961" max="8961" width="18.5546875" style="138" customWidth="1"/>
    <col min="8962" max="8962" width="10.21875" style="138" customWidth="1"/>
    <col min="8963" max="8964" width="17.21875" style="138"/>
    <col min="8965" max="8965" width="11.21875" style="138" customWidth="1"/>
    <col min="8966" max="8966" width="17.21875" style="138"/>
    <col min="8967" max="8967" width="17.5546875" style="138" customWidth="1"/>
    <col min="8968" max="8968" width="16.21875" style="138" customWidth="1"/>
    <col min="8969" max="8969" width="15.44140625" style="138" customWidth="1"/>
    <col min="8970" max="8970" width="20.21875" style="138" customWidth="1"/>
    <col min="8971" max="9216" width="17.21875" style="138"/>
    <col min="9217" max="9217" width="18.5546875" style="138" customWidth="1"/>
    <col min="9218" max="9218" width="10.21875" style="138" customWidth="1"/>
    <col min="9219" max="9220" width="17.21875" style="138"/>
    <col min="9221" max="9221" width="11.21875" style="138" customWidth="1"/>
    <col min="9222" max="9222" width="17.21875" style="138"/>
    <col min="9223" max="9223" width="17.5546875" style="138" customWidth="1"/>
    <col min="9224" max="9224" width="16.21875" style="138" customWidth="1"/>
    <col min="9225" max="9225" width="15.44140625" style="138" customWidth="1"/>
    <col min="9226" max="9226" width="20.21875" style="138" customWidth="1"/>
    <col min="9227" max="9472" width="17.21875" style="138"/>
    <col min="9473" max="9473" width="18.5546875" style="138" customWidth="1"/>
    <col min="9474" max="9474" width="10.21875" style="138" customWidth="1"/>
    <col min="9475" max="9476" width="17.21875" style="138"/>
    <col min="9477" max="9477" width="11.21875" style="138" customWidth="1"/>
    <col min="9478" max="9478" width="17.21875" style="138"/>
    <col min="9479" max="9479" width="17.5546875" style="138" customWidth="1"/>
    <col min="9480" max="9480" width="16.21875" style="138" customWidth="1"/>
    <col min="9481" max="9481" width="15.44140625" style="138" customWidth="1"/>
    <col min="9482" max="9482" width="20.21875" style="138" customWidth="1"/>
    <col min="9483" max="9728" width="17.21875" style="138"/>
    <col min="9729" max="9729" width="18.5546875" style="138" customWidth="1"/>
    <col min="9730" max="9730" width="10.21875" style="138" customWidth="1"/>
    <col min="9731" max="9732" width="17.21875" style="138"/>
    <col min="9733" max="9733" width="11.21875" style="138" customWidth="1"/>
    <col min="9734" max="9734" width="17.21875" style="138"/>
    <col min="9735" max="9735" width="17.5546875" style="138" customWidth="1"/>
    <col min="9736" max="9736" width="16.21875" style="138" customWidth="1"/>
    <col min="9737" max="9737" width="15.44140625" style="138" customWidth="1"/>
    <col min="9738" max="9738" width="20.21875" style="138" customWidth="1"/>
    <col min="9739" max="9984" width="17.21875" style="138"/>
    <col min="9985" max="9985" width="18.5546875" style="138" customWidth="1"/>
    <col min="9986" max="9986" width="10.21875" style="138" customWidth="1"/>
    <col min="9987" max="9988" width="17.21875" style="138"/>
    <col min="9989" max="9989" width="11.21875" style="138" customWidth="1"/>
    <col min="9990" max="9990" width="17.21875" style="138"/>
    <col min="9991" max="9991" width="17.5546875" style="138" customWidth="1"/>
    <col min="9992" max="9992" width="16.21875" style="138" customWidth="1"/>
    <col min="9993" max="9993" width="15.44140625" style="138" customWidth="1"/>
    <col min="9994" max="9994" width="20.21875" style="138" customWidth="1"/>
    <col min="9995" max="10240" width="17.21875" style="138"/>
    <col min="10241" max="10241" width="18.5546875" style="138" customWidth="1"/>
    <col min="10242" max="10242" width="10.21875" style="138" customWidth="1"/>
    <col min="10243" max="10244" width="17.21875" style="138"/>
    <col min="10245" max="10245" width="11.21875" style="138" customWidth="1"/>
    <col min="10246" max="10246" width="17.21875" style="138"/>
    <col min="10247" max="10247" width="17.5546875" style="138" customWidth="1"/>
    <col min="10248" max="10248" width="16.21875" style="138" customWidth="1"/>
    <col min="10249" max="10249" width="15.44140625" style="138" customWidth="1"/>
    <col min="10250" max="10250" width="20.21875" style="138" customWidth="1"/>
    <col min="10251" max="10496" width="17.21875" style="138"/>
    <col min="10497" max="10497" width="18.5546875" style="138" customWidth="1"/>
    <col min="10498" max="10498" width="10.21875" style="138" customWidth="1"/>
    <col min="10499" max="10500" width="17.21875" style="138"/>
    <col min="10501" max="10501" width="11.21875" style="138" customWidth="1"/>
    <col min="10502" max="10502" width="17.21875" style="138"/>
    <col min="10503" max="10503" width="17.5546875" style="138" customWidth="1"/>
    <col min="10504" max="10504" width="16.21875" style="138" customWidth="1"/>
    <col min="10505" max="10505" width="15.44140625" style="138" customWidth="1"/>
    <col min="10506" max="10506" width="20.21875" style="138" customWidth="1"/>
    <col min="10507" max="10752" width="17.21875" style="138"/>
    <col min="10753" max="10753" width="18.5546875" style="138" customWidth="1"/>
    <col min="10754" max="10754" width="10.21875" style="138" customWidth="1"/>
    <col min="10755" max="10756" width="17.21875" style="138"/>
    <col min="10757" max="10757" width="11.21875" style="138" customWidth="1"/>
    <col min="10758" max="10758" width="17.21875" style="138"/>
    <col min="10759" max="10759" width="17.5546875" style="138" customWidth="1"/>
    <col min="10760" max="10760" width="16.21875" style="138" customWidth="1"/>
    <col min="10761" max="10761" width="15.44140625" style="138" customWidth="1"/>
    <col min="10762" max="10762" width="20.21875" style="138" customWidth="1"/>
    <col min="10763" max="11008" width="17.21875" style="138"/>
    <col min="11009" max="11009" width="18.5546875" style="138" customWidth="1"/>
    <col min="11010" max="11010" width="10.21875" style="138" customWidth="1"/>
    <col min="11011" max="11012" width="17.21875" style="138"/>
    <col min="11013" max="11013" width="11.21875" style="138" customWidth="1"/>
    <col min="11014" max="11014" width="17.21875" style="138"/>
    <col min="11015" max="11015" width="17.5546875" style="138" customWidth="1"/>
    <col min="11016" max="11016" width="16.21875" style="138" customWidth="1"/>
    <col min="11017" max="11017" width="15.44140625" style="138" customWidth="1"/>
    <col min="11018" max="11018" width="20.21875" style="138" customWidth="1"/>
    <col min="11019" max="11264" width="17.21875" style="138"/>
    <col min="11265" max="11265" width="18.5546875" style="138" customWidth="1"/>
    <col min="11266" max="11266" width="10.21875" style="138" customWidth="1"/>
    <col min="11267" max="11268" width="17.21875" style="138"/>
    <col min="11269" max="11269" width="11.21875" style="138" customWidth="1"/>
    <col min="11270" max="11270" width="17.21875" style="138"/>
    <col min="11271" max="11271" width="17.5546875" style="138" customWidth="1"/>
    <col min="11272" max="11272" width="16.21875" style="138" customWidth="1"/>
    <col min="11273" max="11273" width="15.44140625" style="138" customWidth="1"/>
    <col min="11274" max="11274" width="20.21875" style="138" customWidth="1"/>
    <col min="11275" max="11520" width="17.21875" style="138"/>
    <col min="11521" max="11521" width="18.5546875" style="138" customWidth="1"/>
    <col min="11522" max="11522" width="10.21875" style="138" customWidth="1"/>
    <col min="11523" max="11524" width="17.21875" style="138"/>
    <col min="11525" max="11525" width="11.21875" style="138" customWidth="1"/>
    <col min="11526" max="11526" width="17.21875" style="138"/>
    <col min="11527" max="11527" width="17.5546875" style="138" customWidth="1"/>
    <col min="11528" max="11528" width="16.21875" style="138" customWidth="1"/>
    <col min="11529" max="11529" width="15.44140625" style="138" customWidth="1"/>
    <col min="11530" max="11530" width="20.21875" style="138" customWidth="1"/>
    <col min="11531" max="11776" width="17.21875" style="138"/>
    <col min="11777" max="11777" width="18.5546875" style="138" customWidth="1"/>
    <col min="11778" max="11778" width="10.21875" style="138" customWidth="1"/>
    <col min="11779" max="11780" width="17.21875" style="138"/>
    <col min="11781" max="11781" width="11.21875" style="138" customWidth="1"/>
    <col min="11782" max="11782" width="17.21875" style="138"/>
    <col min="11783" max="11783" width="17.5546875" style="138" customWidth="1"/>
    <col min="11784" max="11784" width="16.21875" style="138" customWidth="1"/>
    <col min="11785" max="11785" width="15.44140625" style="138" customWidth="1"/>
    <col min="11786" max="11786" width="20.21875" style="138" customWidth="1"/>
    <col min="11787" max="12032" width="17.21875" style="138"/>
    <col min="12033" max="12033" width="18.5546875" style="138" customWidth="1"/>
    <col min="12034" max="12034" width="10.21875" style="138" customWidth="1"/>
    <col min="12035" max="12036" width="17.21875" style="138"/>
    <col min="12037" max="12037" width="11.21875" style="138" customWidth="1"/>
    <col min="12038" max="12038" width="17.21875" style="138"/>
    <col min="12039" max="12039" width="17.5546875" style="138" customWidth="1"/>
    <col min="12040" max="12040" width="16.21875" style="138" customWidth="1"/>
    <col min="12041" max="12041" width="15.44140625" style="138" customWidth="1"/>
    <col min="12042" max="12042" width="20.21875" style="138" customWidth="1"/>
    <col min="12043" max="12288" width="17.21875" style="138"/>
    <col min="12289" max="12289" width="18.5546875" style="138" customWidth="1"/>
    <col min="12290" max="12290" width="10.21875" style="138" customWidth="1"/>
    <col min="12291" max="12292" width="17.21875" style="138"/>
    <col min="12293" max="12293" width="11.21875" style="138" customWidth="1"/>
    <col min="12294" max="12294" width="17.21875" style="138"/>
    <col min="12295" max="12295" width="17.5546875" style="138" customWidth="1"/>
    <col min="12296" max="12296" width="16.21875" style="138" customWidth="1"/>
    <col min="12297" max="12297" width="15.44140625" style="138" customWidth="1"/>
    <col min="12298" max="12298" width="20.21875" style="138" customWidth="1"/>
    <col min="12299" max="12544" width="17.21875" style="138"/>
    <col min="12545" max="12545" width="18.5546875" style="138" customWidth="1"/>
    <col min="12546" max="12546" width="10.21875" style="138" customWidth="1"/>
    <col min="12547" max="12548" width="17.21875" style="138"/>
    <col min="12549" max="12549" width="11.21875" style="138" customWidth="1"/>
    <col min="12550" max="12550" width="17.21875" style="138"/>
    <col min="12551" max="12551" width="17.5546875" style="138" customWidth="1"/>
    <col min="12552" max="12552" width="16.21875" style="138" customWidth="1"/>
    <col min="12553" max="12553" width="15.44140625" style="138" customWidth="1"/>
    <col min="12554" max="12554" width="20.21875" style="138" customWidth="1"/>
    <col min="12555" max="12800" width="17.21875" style="138"/>
    <col min="12801" max="12801" width="18.5546875" style="138" customWidth="1"/>
    <col min="12802" max="12802" width="10.21875" style="138" customWidth="1"/>
    <col min="12803" max="12804" width="17.21875" style="138"/>
    <col min="12805" max="12805" width="11.21875" style="138" customWidth="1"/>
    <col min="12806" max="12806" width="17.21875" style="138"/>
    <col min="12807" max="12807" width="17.5546875" style="138" customWidth="1"/>
    <col min="12808" max="12808" width="16.21875" style="138" customWidth="1"/>
    <col min="12809" max="12809" width="15.44140625" style="138" customWidth="1"/>
    <col min="12810" max="12810" width="20.21875" style="138" customWidth="1"/>
    <col min="12811" max="13056" width="17.21875" style="138"/>
    <col min="13057" max="13057" width="18.5546875" style="138" customWidth="1"/>
    <col min="13058" max="13058" width="10.21875" style="138" customWidth="1"/>
    <col min="13059" max="13060" width="17.21875" style="138"/>
    <col min="13061" max="13061" width="11.21875" style="138" customWidth="1"/>
    <col min="13062" max="13062" width="17.21875" style="138"/>
    <col min="13063" max="13063" width="17.5546875" style="138" customWidth="1"/>
    <col min="13064" max="13064" width="16.21875" style="138" customWidth="1"/>
    <col min="13065" max="13065" width="15.44140625" style="138" customWidth="1"/>
    <col min="13066" max="13066" width="20.21875" style="138" customWidth="1"/>
    <col min="13067" max="13312" width="17.21875" style="138"/>
    <col min="13313" max="13313" width="18.5546875" style="138" customWidth="1"/>
    <col min="13314" max="13314" width="10.21875" style="138" customWidth="1"/>
    <col min="13315" max="13316" width="17.21875" style="138"/>
    <col min="13317" max="13317" width="11.21875" style="138" customWidth="1"/>
    <col min="13318" max="13318" width="17.21875" style="138"/>
    <col min="13319" max="13319" width="17.5546875" style="138" customWidth="1"/>
    <col min="13320" max="13320" width="16.21875" style="138" customWidth="1"/>
    <col min="13321" max="13321" width="15.44140625" style="138" customWidth="1"/>
    <col min="13322" max="13322" width="20.21875" style="138" customWidth="1"/>
    <col min="13323" max="13568" width="17.21875" style="138"/>
    <col min="13569" max="13569" width="18.5546875" style="138" customWidth="1"/>
    <col min="13570" max="13570" width="10.21875" style="138" customWidth="1"/>
    <col min="13571" max="13572" width="17.21875" style="138"/>
    <col min="13573" max="13573" width="11.21875" style="138" customWidth="1"/>
    <col min="13574" max="13574" width="17.21875" style="138"/>
    <col min="13575" max="13575" width="17.5546875" style="138" customWidth="1"/>
    <col min="13576" max="13576" width="16.21875" style="138" customWidth="1"/>
    <col min="13577" max="13577" width="15.44140625" style="138" customWidth="1"/>
    <col min="13578" max="13578" width="20.21875" style="138" customWidth="1"/>
    <col min="13579" max="13824" width="17.21875" style="138"/>
    <col min="13825" max="13825" width="18.5546875" style="138" customWidth="1"/>
    <col min="13826" max="13826" width="10.21875" style="138" customWidth="1"/>
    <col min="13827" max="13828" width="17.21875" style="138"/>
    <col min="13829" max="13829" width="11.21875" style="138" customWidth="1"/>
    <col min="13830" max="13830" width="17.21875" style="138"/>
    <col min="13831" max="13831" width="17.5546875" style="138" customWidth="1"/>
    <col min="13832" max="13832" width="16.21875" style="138" customWidth="1"/>
    <col min="13833" max="13833" width="15.44140625" style="138" customWidth="1"/>
    <col min="13834" max="13834" width="20.21875" style="138" customWidth="1"/>
    <col min="13835" max="14080" width="17.21875" style="138"/>
    <col min="14081" max="14081" width="18.5546875" style="138" customWidth="1"/>
    <col min="14082" max="14082" width="10.21875" style="138" customWidth="1"/>
    <col min="14083" max="14084" width="17.21875" style="138"/>
    <col min="14085" max="14085" width="11.21875" style="138" customWidth="1"/>
    <col min="14086" max="14086" width="17.21875" style="138"/>
    <col min="14087" max="14087" width="17.5546875" style="138" customWidth="1"/>
    <col min="14088" max="14088" width="16.21875" style="138" customWidth="1"/>
    <col min="14089" max="14089" width="15.44140625" style="138" customWidth="1"/>
    <col min="14090" max="14090" width="20.21875" style="138" customWidth="1"/>
    <col min="14091" max="14336" width="17.21875" style="138"/>
    <col min="14337" max="14337" width="18.5546875" style="138" customWidth="1"/>
    <col min="14338" max="14338" width="10.21875" style="138" customWidth="1"/>
    <col min="14339" max="14340" width="17.21875" style="138"/>
    <col min="14341" max="14341" width="11.21875" style="138" customWidth="1"/>
    <col min="14342" max="14342" width="17.21875" style="138"/>
    <col min="14343" max="14343" width="17.5546875" style="138" customWidth="1"/>
    <col min="14344" max="14344" width="16.21875" style="138" customWidth="1"/>
    <col min="14345" max="14345" width="15.44140625" style="138" customWidth="1"/>
    <col min="14346" max="14346" width="20.21875" style="138" customWidth="1"/>
    <col min="14347" max="14592" width="17.21875" style="138"/>
    <col min="14593" max="14593" width="18.5546875" style="138" customWidth="1"/>
    <col min="14594" max="14594" width="10.21875" style="138" customWidth="1"/>
    <col min="14595" max="14596" width="17.21875" style="138"/>
    <col min="14597" max="14597" width="11.21875" style="138" customWidth="1"/>
    <col min="14598" max="14598" width="17.21875" style="138"/>
    <col min="14599" max="14599" width="17.5546875" style="138" customWidth="1"/>
    <col min="14600" max="14600" width="16.21875" style="138" customWidth="1"/>
    <col min="14601" max="14601" width="15.44140625" style="138" customWidth="1"/>
    <col min="14602" max="14602" width="20.21875" style="138" customWidth="1"/>
    <col min="14603" max="14848" width="17.21875" style="138"/>
    <col min="14849" max="14849" width="18.5546875" style="138" customWidth="1"/>
    <col min="14850" max="14850" width="10.21875" style="138" customWidth="1"/>
    <col min="14851" max="14852" width="17.21875" style="138"/>
    <col min="14853" max="14853" width="11.21875" style="138" customWidth="1"/>
    <col min="14854" max="14854" width="17.21875" style="138"/>
    <col min="14855" max="14855" width="17.5546875" style="138" customWidth="1"/>
    <col min="14856" max="14856" width="16.21875" style="138" customWidth="1"/>
    <col min="14857" max="14857" width="15.44140625" style="138" customWidth="1"/>
    <col min="14858" max="14858" width="20.21875" style="138" customWidth="1"/>
    <col min="14859" max="15104" width="17.21875" style="138"/>
    <col min="15105" max="15105" width="18.5546875" style="138" customWidth="1"/>
    <col min="15106" max="15106" width="10.21875" style="138" customWidth="1"/>
    <col min="15107" max="15108" width="17.21875" style="138"/>
    <col min="15109" max="15109" width="11.21875" style="138" customWidth="1"/>
    <col min="15110" max="15110" width="17.21875" style="138"/>
    <col min="15111" max="15111" width="17.5546875" style="138" customWidth="1"/>
    <col min="15112" max="15112" width="16.21875" style="138" customWidth="1"/>
    <col min="15113" max="15113" width="15.44140625" style="138" customWidth="1"/>
    <col min="15114" max="15114" width="20.21875" style="138" customWidth="1"/>
    <col min="15115" max="15360" width="17.21875" style="138"/>
    <col min="15361" max="15361" width="18.5546875" style="138" customWidth="1"/>
    <col min="15362" max="15362" width="10.21875" style="138" customWidth="1"/>
    <col min="15363" max="15364" width="17.21875" style="138"/>
    <col min="15365" max="15365" width="11.21875" style="138" customWidth="1"/>
    <col min="15366" max="15366" width="17.21875" style="138"/>
    <col min="15367" max="15367" width="17.5546875" style="138" customWidth="1"/>
    <col min="15368" max="15368" width="16.21875" style="138" customWidth="1"/>
    <col min="15369" max="15369" width="15.44140625" style="138" customWidth="1"/>
    <col min="15370" max="15370" width="20.21875" style="138" customWidth="1"/>
    <col min="15371" max="15616" width="17.21875" style="138"/>
    <col min="15617" max="15617" width="18.5546875" style="138" customWidth="1"/>
    <col min="15618" max="15618" width="10.21875" style="138" customWidth="1"/>
    <col min="15619" max="15620" width="17.21875" style="138"/>
    <col min="15621" max="15621" width="11.21875" style="138" customWidth="1"/>
    <col min="15622" max="15622" width="17.21875" style="138"/>
    <col min="15623" max="15623" width="17.5546875" style="138" customWidth="1"/>
    <col min="15624" max="15624" width="16.21875" style="138" customWidth="1"/>
    <col min="15625" max="15625" width="15.44140625" style="138" customWidth="1"/>
    <col min="15626" max="15626" width="20.21875" style="138" customWidth="1"/>
    <col min="15627" max="15872" width="17.21875" style="138"/>
    <col min="15873" max="15873" width="18.5546875" style="138" customWidth="1"/>
    <col min="15874" max="15874" width="10.21875" style="138" customWidth="1"/>
    <col min="15875" max="15876" width="17.21875" style="138"/>
    <col min="15877" max="15877" width="11.21875" style="138" customWidth="1"/>
    <col min="15878" max="15878" width="17.21875" style="138"/>
    <col min="15879" max="15879" width="17.5546875" style="138" customWidth="1"/>
    <col min="15880" max="15880" width="16.21875" style="138" customWidth="1"/>
    <col min="15881" max="15881" width="15.44140625" style="138" customWidth="1"/>
    <col min="15882" max="15882" width="20.21875" style="138" customWidth="1"/>
    <col min="15883" max="16128" width="17.21875" style="138"/>
    <col min="16129" max="16129" width="18.5546875" style="138" customWidth="1"/>
    <col min="16130" max="16130" width="10.21875" style="138" customWidth="1"/>
    <col min="16131" max="16132" width="17.21875" style="138"/>
    <col min="16133" max="16133" width="11.21875" style="138" customWidth="1"/>
    <col min="16134" max="16134" width="17.21875" style="138"/>
    <col min="16135" max="16135" width="17.5546875" style="138" customWidth="1"/>
    <col min="16136" max="16136" width="16.21875" style="138" customWidth="1"/>
    <col min="16137" max="16137" width="15.44140625" style="138" customWidth="1"/>
    <col min="16138" max="16138" width="20.21875" style="138" customWidth="1"/>
    <col min="16139" max="16384" width="17.21875" style="138"/>
  </cols>
  <sheetData>
    <row r="1" spans="1:3" ht="13.5" customHeight="1" thickBot="1" x14ac:dyDescent="0.35"/>
    <row r="2" spans="1:3" ht="13.5" customHeight="1" thickBot="1" x14ac:dyDescent="0.35">
      <c r="A2" s="260" t="s">
        <v>0</v>
      </c>
      <c r="B2" s="261"/>
      <c r="C2" s="262"/>
    </row>
    <row r="3" spans="1:3" ht="13.5" customHeight="1" x14ac:dyDescent="0.3">
      <c r="A3" s="145" t="s">
        <v>228</v>
      </c>
      <c r="B3" s="146">
        <v>83</v>
      </c>
      <c r="C3" s="146" t="s">
        <v>229</v>
      </c>
    </row>
    <row r="4" spans="1:3" ht="13.5" customHeight="1" x14ac:dyDescent="0.3">
      <c r="A4" s="143" t="s">
        <v>230</v>
      </c>
      <c r="B4" s="144">
        <v>80</v>
      </c>
      <c r="C4" s="144" t="s">
        <v>229</v>
      </c>
    </row>
    <row r="5" spans="1:3" ht="13.5" customHeight="1" x14ac:dyDescent="0.3">
      <c r="A5" s="143" t="s">
        <v>2</v>
      </c>
      <c r="B5" s="144">
        <v>20</v>
      </c>
      <c r="C5" s="144" t="s">
        <v>229</v>
      </c>
    </row>
    <row r="6" spans="1:3" ht="13.5" customHeight="1" x14ac:dyDescent="0.3">
      <c r="A6" s="143" t="s">
        <v>3</v>
      </c>
      <c r="B6" s="144">
        <v>5</v>
      </c>
      <c r="C6" s="144" t="s">
        <v>229</v>
      </c>
    </row>
    <row r="7" spans="1:3" ht="13.5" customHeight="1" x14ac:dyDescent="0.3">
      <c r="A7" s="143" t="s">
        <v>4</v>
      </c>
      <c r="B7" s="144">
        <v>10</v>
      </c>
      <c r="C7" s="144" t="s">
        <v>229</v>
      </c>
    </row>
    <row r="8" spans="1:3" ht="13.5" customHeight="1" x14ac:dyDescent="0.3">
      <c r="A8" s="143" t="s">
        <v>5</v>
      </c>
      <c r="B8" s="144">
        <v>1000</v>
      </c>
      <c r="C8" s="144" t="s">
        <v>231</v>
      </c>
    </row>
    <row r="9" spans="1:3" ht="13.5" customHeight="1" x14ac:dyDescent="0.3">
      <c r="A9" s="143" t="s">
        <v>6</v>
      </c>
      <c r="B9" s="144">
        <v>0.65</v>
      </c>
      <c r="C9" s="144"/>
    </row>
    <row r="10" spans="1:3" ht="13.5" customHeight="1" x14ac:dyDescent="0.3">
      <c r="A10" s="143" t="s">
        <v>7</v>
      </c>
      <c r="B10" s="144">
        <v>20</v>
      </c>
      <c r="C10" s="144" t="s">
        <v>232</v>
      </c>
    </row>
    <row r="11" spans="1:3" ht="13.5" customHeight="1" x14ac:dyDescent="0.3">
      <c r="A11" s="143" t="s">
        <v>8</v>
      </c>
      <c r="B11" s="144">
        <v>30</v>
      </c>
      <c r="C11" s="144"/>
    </row>
    <row r="12" spans="1:3" ht="13.5" customHeight="1" x14ac:dyDescent="0.3">
      <c r="A12" s="143" t="s">
        <v>233</v>
      </c>
      <c r="B12" s="144">
        <v>1000</v>
      </c>
      <c r="C12" s="144" t="s">
        <v>234</v>
      </c>
    </row>
    <row r="13" spans="1:3" ht="13.5" customHeight="1" x14ac:dyDescent="0.3">
      <c r="A13" s="143" t="s">
        <v>235</v>
      </c>
      <c r="B13" s="144"/>
      <c r="C13" s="144"/>
    </row>
    <row r="14" spans="1:3" ht="13.5" customHeight="1" x14ac:dyDescent="0.3">
      <c r="A14" s="143" t="s">
        <v>9</v>
      </c>
      <c r="B14" s="49">
        <f>B4/B5</f>
        <v>4</v>
      </c>
      <c r="C14" s="49"/>
    </row>
    <row r="15" spans="1:3" ht="13.5" customHeight="1" x14ac:dyDescent="0.3">
      <c r="A15" s="143" t="s">
        <v>10</v>
      </c>
      <c r="B15" s="49">
        <f>B5/B6</f>
        <v>4</v>
      </c>
      <c r="C15" s="49"/>
    </row>
    <row r="16" spans="1:3" ht="13.5" customHeight="1" x14ac:dyDescent="0.3">
      <c r="A16" s="143" t="s">
        <v>11</v>
      </c>
      <c r="B16" s="49">
        <f>B4/B7</f>
        <v>8</v>
      </c>
      <c r="C16" s="49"/>
    </row>
    <row r="17" spans="1:3" ht="13.5" customHeight="1" x14ac:dyDescent="0.3">
      <c r="A17" s="143" t="s">
        <v>12</v>
      </c>
      <c r="B17" s="49">
        <f>B4/(B9*B4*B5*B6)^(1/3)</f>
        <v>4.6176626930572784</v>
      </c>
      <c r="C17" s="49"/>
    </row>
    <row r="18" spans="1:3" ht="13.5" customHeight="1" x14ac:dyDescent="0.3">
      <c r="A18" s="143" t="s">
        <v>13</v>
      </c>
      <c r="B18" s="49">
        <f>CONVERT(B10,"kn","m/sec")/SQRT(9.81*B4)</f>
        <v>0.36727298106401718</v>
      </c>
      <c r="C18" s="49"/>
    </row>
    <row r="27" spans="1:3" ht="13.5" customHeight="1" thickBot="1" x14ac:dyDescent="0.35"/>
    <row r="28" spans="1:3" ht="13.5" customHeight="1" x14ac:dyDescent="0.3">
      <c r="A28" s="249" t="s">
        <v>15</v>
      </c>
      <c r="B28" s="250"/>
      <c r="C28" s="251"/>
    </row>
    <row r="29" spans="1:3" ht="13.5" customHeight="1" thickBot="1" x14ac:dyDescent="0.35">
      <c r="A29" s="252"/>
      <c r="B29" s="253"/>
      <c r="C29" s="254"/>
    </row>
    <row r="32" spans="1:3" ht="13.5" customHeight="1" thickBot="1" x14ac:dyDescent="0.35"/>
    <row r="33" spans="1:17" ht="13.5" customHeight="1" x14ac:dyDescent="0.3">
      <c r="A33" s="87"/>
      <c r="B33" s="86"/>
      <c r="C33" s="232" t="s">
        <v>18</v>
      </c>
      <c r="D33" s="233"/>
      <c r="E33" s="233"/>
      <c r="F33" s="234"/>
      <c r="G33" s="86"/>
      <c r="H33" s="85"/>
      <c r="I33"/>
      <c r="J33" s="87"/>
      <c r="K33" s="86"/>
      <c r="L33" s="232" t="s">
        <v>19</v>
      </c>
      <c r="M33" s="233"/>
      <c r="N33" s="233"/>
      <c r="O33" s="234"/>
      <c r="P33" s="86"/>
      <c r="Q33" s="85"/>
    </row>
    <row r="34" spans="1:17" ht="13.5" customHeight="1" thickBot="1" x14ac:dyDescent="0.35">
      <c r="A34" s="84"/>
      <c r="B34" s="46"/>
      <c r="C34" s="235"/>
      <c r="D34" s="236"/>
      <c r="E34" s="236"/>
      <c r="F34" s="237"/>
      <c r="G34" s="46"/>
      <c r="H34" s="83"/>
      <c r="I34"/>
      <c r="J34" s="84"/>
      <c r="K34" s="46"/>
      <c r="L34" s="235"/>
      <c r="M34" s="236"/>
      <c r="N34" s="236"/>
      <c r="O34" s="237"/>
      <c r="P34" s="46"/>
      <c r="Q34" s="83"/>
    </row>
    <row r="35" spans="1:17" ht="13.5" customHeight="1" x14ac:dyDescent="0.3">
      <c r="A35" s="84"/>
      <c r="B35" s="46"/>
      <c r="C35" s="46"/>
      <c r="D35" s="46"/>
      <c r="E35" s="46"/>
      <c r="F35" s="46"/>
      <c r="G35" s="46"/>
      <c r="H35" s="83"/>
      <c r="I35"/>
      <c r="J35" s="84"/>
      <c r="K35" s="46"/>
      <c r="L35" s="46"/>
      <c r="M35" s="46"/>
      <c r="N35" s="46"/>
      <c r="O35" s="46"/>
      <c r="P35" s="46"/>
      <c r="Q35" s="83"/>
    </row>
    <row r="36" spans="1:17" ht="13.5" customHeight="1" x14ac:dyDescent="0.3">
      <c r="A36" s="84"/>
      <c r="B36" s="46"/>
      <c r="C36" s="46"/>
      <c r="D36" s="46"/>
      <c r="E36" s="46"/>
      <c r="F36" s="46"/>
      <c r="G36" s="46"/>
      <c r="H36" s="83"/>
      <c r="I36"/>
      <c r="J36" s="84"/>
      <c r="K36" s="46"/>
      <c r="L36" s="46"/>
      <c r="M36" s="46"/>
      <c r="N36" s="46"/>
      <c r="O36" s="46"/>
      <c r="P36" s="46"/>
      <c r="Q36" s="83"/>
    </row>
    <row r="37" spans="1:17" ht="13.5" customHeight="1" x14ac:dyDescent="0.3">
      <c r="A37" s="84"/>
      <c r="B37" s="46"/>
      <c r="C37" s="46"/>
      <c r="D37" s="46"/>
      <c r="E37" s="46"/>
      <c r="F37" s="46"/>
      <c r="G37" s="46"/>
      <c r="H37" s="83"/>
      <c r="I37"/>
      <c r="J37" s="84"/>
      <c r="K37" s="46"/>
      <c r="L37" s="46"/>
      <c r="M37" s="46"/>
      <c r="N37" s="46"/>
      <c r="O37" s="46"/>
      <c r="P37" s="46"/>
      <c r="Q37" s="83"/>
    </row>
    <row r="38" spans="1:17" ht="13.5" customHeight="1" x14ac:dyDescent="0.3">
      <c r="A38" s="84"/>
      <c r="B38" s="46"/>
      <c r="C38" s="46"/>
      <c r="D38" s="46"/>
      <c r="E38" s="46"/>
      <c r="F38" s="46"/>
      <c r="G38" s="46"/>
      <c r="H38" s="83"/>
      <c r="I38"/>
      <c r="J38" s="84"/>
      <c r="K38" s="46"/>
      <c r="L38" s="46"/>
      <c r="M38" s="46"/>
      <c r="N38" s="46"/>
      <c r="O38" s="46"/>
      <c r="P38" s="46"/>
      <c r="Q38" s="83"/>
    </row>
    <row r="39" spans="1:17" ht="13.5" customHeight="1" x14ac:dyDescent="0.3">
      <c r="A39" s="84"/>
      <c r="B39" s="46"/>
      <c r="C39" s="46"/>
      <c r="D39" s="46"/>
      <c r="E39" s="46"/>
      <c r="F39" s="46"/>
      <c r="G39" s="46"/>
      <c r="H39" s="83"/>
      <c r="I39"/>
      <c r="J39" s="84"/>
      <c r="K39" s="46"/>
      <c r="L39" s="46"/>
      <c r="M39" s="46"/>
      <c r="N39" s="46"/>
      <c r="O39" s="46"/>
      <c r="P39" s="46"/>
      <c r="Q39" s="83"/>
    </row>
    <row r="40" spans="1:17" ht="13.5" customHeight="1" x14ac:dyDescent="0.3">
      <c r="A40" s="84"/>
      <c r="B40" s="46"/>
      <c r="C40" s="46"/>
      <c r="D40" s="46"/>
      <c r="E40" s="46"/>
      <c r="F40" s="46"/>
      <c r="G40" s="46"/>
      <c r="H40" s="83"/>
      <c r="I40"/>
      <c r="J40" s="84"/>
      <c r="K40" s="46"/>
      <c r="L40" s="46"/>
      <c r="M40" s="46"/>
      <c r="N40" s="46"/>
      <c r="O40" s="46"/>
      <c r="P40" s="46"/>
      <c r="Q40" s="83"/>
    </row>
    <row r="41" spans="1:17" ht="13.5" customHeight="1" x14ac:dyDescent="0.3">
      <c r="A41" s="84"/>
      <c r="B41" s="46"/>
      <c r="C41" s="46"/>
      <c r="D41" s="46"/>
      <c r="E41" s="46"/>
      <c r="F41" s="46"/>
      <c r="G41" s="46"/>
      <c r="H41" s="83"/>
      <c r="I41"/>
      <c r="J41" s="84"/>
      <c r="K41" s="46"/>
      <c r="L41" s="46"/>
      <c r="M41" s="46"/>
      <c r="N41" s="46"/>
      <c r="O41" s="46"/>
      <c r="P41" s="46"/>
      <c r="Q41" s="83"/>
    </row>
    <row r="42" spans="1:17" ht="13.5" customHeight="1" x14ac:dyDescent="0.3">
      <c r="A42" s="84"/>
      <c r="B42" s="46"/>
      <c r="C42" s="46"/>
      <c r="D42" s="46"/>
      <c r="E42" s="46"/>
      <c r="F42" s="46"/>
      <c r="G42" s="46"/>
      <c r="H42" s="83"/>
      <c r="I42"/>
      <c r="J42" s="84"/>
      <c r="K42" s="46"/>
      <c r="L42" s="46"/>
      <c r="M42" s="46"/>
      <c r="N42" s="46"/>
      <c r="O42" s="46"/>
      <c r="P42" s="46"/>
      <c r="Q42" s="83"/>
    </row>
    <row r="43" spans="1:17" ht="13.5" customHeight="1" x14ac:dyDescent="0.3">
      <c r="A43" s="84"/>
      <c r="B43" s="46"/>
      <c r="C43" s="46"/>
      <c r="D43" s="46"/>
      <c r="E43" s="46"/>
      <c r="F43" s="46"/>
      <c r="G43" s="46"/>
      <c r="H43" s="83"/>
      <c r="I43"/>
      <c r="J43" s="84"/>
      <c r="K43" s="46"/>
      <c r="L43" s="46"/>
      <c r="M43" s="46"/>
      <c r="N43" s="46"/>
      <c r="O43" s="46"/>
      <c r="P43" s="46"/>
      <c r="Q43" s="83"/>
    </row>
    <row r="44" spans="1:17" ht="13.5" customHeight="1" x14ac:dyDescent="0.3">
      <c r="A44" s="84"/>
      <c r="B44" s="46"/>
      <c r="C44" s="46"/>
      <c r="D44" s="46"/>
      <c r="E44" s="46"/>
      <c r="F44" s="46"/>
      <c r="G44" s="46"/>
      <c r="H44" s="83"/>
      <c r="I44"/>
      <c r="J44" s="84"/>
      <c r="K44" s="46"/>
      <c r="L44" s="46"/>
      <c r="M44" s="46"/>
      <c r="N44" s="46"/>
      <c r="O44" s="46"/>
      <c r="P44" s="46"/>
      <c r="Q44" s="83"/>
    </row>
    <row r="45" spans="1:17" ht="13.5" customHeight="1" x14ac:dyDescent="0.3">
      <c r="A45" s="84"/>
      <c r="B45" s="46"/>
      <c r="C45" s="46"/>
      <c r="D45" s="46"/>
      <c r="E45" s="46"/>
      <c r="F45" s="46"/>
      <c r="G45" s="46"/>
      <c r="H45" s="83"/>
      <c r="I45"/>
      <c r="J45" s="84"/>
      <c r="K45" s="46"/>
      <c r="L45" s="46"/>
      <c r="M45" s="46"/>
      <c r="N45" s="46"/>
      <c r="O45" s="46"/>
      <c r="P45" s="46"/>
      <c r="Q45" s="83"/>
    </row>
    <row r="46" spans="1:17" ht="13.5" customHeight="1" x14ac:dyDescent="0.3">
      <c r="A46" s="84"/>
      <c r="B46" s="46"/>
      <c r="C46" s="46"/>
      <c r="D46" s="46"/>
      <c r="E46" s="46"/>
      <c r="F46" s="46"/>
      <c r="G46" s="46"/>
      <c r="H46" s="83"/>
      <c r="I46"/>
      <c r="J46" s="84"/>
      <c r="K46" s="46"/>
      <c r="L46" s="46"/>
      <c r="M46" s="46"/>
      <c r="N46" s="46"/>
      <c r="O46" s="46"/>
      <c r="P46" s="46"/>
      <c r="Q46" s="83"/>
    </row>
    <row r="47" spans="1:17" ht="13.5" customHeight="1" x14ac:dyDescent="0.3">
      <c r="A47" s="84"/>
      <c r="B47" s="46"/>
      <c r="C47" s="46"/>
      <c r="D47" s="46"/>
      <c r="E47" s="46"/>
      <c r="F47" s="46"/>
      <c r="G47" s="46"/>
      <c r="H47" s="83"/>
      <c r="I47"/>
      <c r="J47" s="84"/>
      <c r="K47" s="46"/>
      <c r="L47" s="46"/>
      <c r="M47" s="46"/>
      <c r="N47" s="46"/>
      <c r="O47" s="46"/>
      <c r="P47" s="46"/>
      <c r="Q47" s="83"/>
    </row>
    <row r="48" spans="1:17" ht="13.5" customHeight="1" x14ac:dyDescent="0.3">
      <c r="A48" s="84"/>
      <c r="B48" s="46"/>
      <c r="C48" s="46"/>
      <c r="D48" s="46"/>
      <c r="E48" s="46"/>
      <c r="F48" s="46"/>
      <c r="G48" s="46"/>
      <c r="H48" s="83"/>
      <c r="I48"/>
      <c r="J48" s="84"/>
      <c r="K48" s="46"/>
      <c r="L48" s="46"/>
      <c r="M48" s="46"/>
      <c r="N48" s="46"/>
      <c r="O48" s="46"/>
      <c r="P48" s="46"/>
      <c r="Q48" s="83"/>
    </row>
    <row r="49" spans="1:26" ht="13.5" customHeight="1" x14ac:dyDescent="0.3">
      <c r="A49" s="84"/>
      <c r="B49" s="46"/>
      <c r="C49" s="46"/>
      <c r="D49" s="46"/>
      <c r="E49" s="46"/>
      <c r="F49" s="46"/>
      <c r="G49" s="46"/>
      <c r="H49" s="83"/>
      <c r="I49"/>
      <c r="J49" s="84"/>
      <c r="K49" s="46"/>
      <c r="L49" s="46"/>
      <c r="M49" s="46"/>
      <c r="N49" s="46"/>
      <c r="O49" s="46"/>
      <c r="P49" s="46"/>
      <c r="Q49" s="83"/>
    </row>
    <row r="50" spans="1:26" ht="13.5" customHeight="1" thickBot="1" x14ac:dyDescent="0.35">
      <c r="A50" s="82"/>
      <c r="B50" s="81"/>
      <c r="C50" s="81"/>
      <c r="D50" s="81"/>
      <c r="E50" s="81"/>
      <c r="F50" s="81"/>
      <c r="G50" s="81"/>
      <c r="H50" s="80"/>
      <c r="I50"/>
      <c r="J50" s="82"/>
      <c r="K50" s="81"/>
      <c r="L50" s="81"/>
      <c r="M50" s="81"/>
      <c r="N50" s="81"/>
      <c r="O50" s="81"/>
      <c r="P50" s="81"/>
      <c r="Q50" s="80"/>
    </row>
    <row r="51" spans="1:26" ht="13.5" customHeight="1" x14ac:dyDescent="0.3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ht="13.5" customHeight="1" thickBot="1" x14ac:dyDescent="0.3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ht="13.5" customHeight="1" x14ac:dyDescent="0.3">
      <c r="A53" s="87"/>
      <c r="B53" s="86"/>
      <c r="C53" s="232" t="s">
        <v>236</v>
      </c>
      <c r="D53" s="234"/>
      <c r="E53" s="86"/>
      <c r="F53" s="86"/>
      <c r="G53" s="86"/>
      <c r="H53" s="85"/>
      <c r="I53"/>
      <c r="J53" s="87"/>
      <c r="K53" s="86"/>
      <c r="L53" s="86"/>
      <c r="M53" s="256" t="s">
        <v>237</v>
      </c>
      <c r="N53" s="257"/>
      <c r="O53" s="86"/>
      <c r="P53" s="86"/>
      <c r="Q53" s="85"/>
      <c r="R53"/>
      <c r="S53" s="87"/>
      <c r="T53" s="86"/>
      <c r="U53" s="86"/>
      <c r="V53" s="232" t="s">
        <v>239</v>
      </c>
      <c r="W53" s="234"/>
      <c r="X53" s="86"/>
      <c r="Y53" s="86"/>
      <c r="Z53" s="85"/>
    </row>
    <row r="54" spans="1:26" ht="13.5" customHeight="1" thickBot="1" x14ac:dyDescent="0.35">
      <c r="A54" s="84"/>
      <c r="B54" s="46"/>
      <c r="C54" s="235"/>
      <c r="D54" s="237"/>
      <c r="E54" s="46"/>
      <c r="F54" s="46"/>
      <c r="G54" s="46"/>
      <c r="H54" s="83"/>
      <c r="I54"/>
      <c r="J54" s="84"/>
      <c r="K54" s="46"/>
      <c r="L54" s="46"/>
      <c r="M54" s="258"/>
      <c r="N54" s="259"/>
      <c r="O54" s="46"/>
      <c r="P54" s="46"/>
      <c r="Q54" s="83"/>
      <c r="R54"/>
      <c r="S54" s="84"/>
      <c r="T54" s="46"/>
      <c r="U54" s="46"/>
      <c r="V54" s="235"/>
      <c r="W54" s="237"/>
      <c r="X54" s="46"/>
      <c r="Y54" s="46"/>
      <c r="Z54" s="83"/>
    </row>
    <row r="55" spans="1:26" ht="13.5" customHeight="1" x14ac:dyDescent="0.3">
      <c r="A55" s="84"/>
      <c r="B55" s="46"/>
      <c r="C55" s="46"/>
      <c r="D55" s="46"/>
      <c r="E55" s="46"/>
      <c r="F55" s="46"/>
      <c r="G55" s="46"/>
      <c r="H55" s="83"/>
      <c r="I55"/>
      <c r="J55" s="84"/>
      <c r="K55" s="46"/>
      <c r="L55" s="46"/>
      <c r="M55" s="46"/>
      <c r="N55" s="46"/>
      <c r="O55" s="46"/>
      <c r="P55" s="46"/>
      <c r="Q55" s="83"/>
      <c r="R55"/>
      <c r="S55" s="84"/>
      <c r="T55" s="46"/>
      <c r="U55" s="46"/>
      <c r="V55" s="46"/>
      <c r="W55" s="46"/>
      <c r="X55" s="46"/>
      <c r="Y55" s="46"/>
      <c r="Z55" s="83"/>
    </row>
    <row r="56" spans="1:26" ht="13.5" customHeight="1" x14ac:dyDescent="0.3">
      <c r="A56" s="84"/>
      <c r="B56" s="46"/>
      <c r="C56" s="46"/>
      <c r="D56" s="46"/>
      <c r="E56" s="46"/>
      <c r="F56" s="46"/>
      <c r="G56" s="46"/>
      <c r="H56" s="83"/>
      <c r="I56"/>
      <c r="J56" s="84"/>
      <c r="K56" s="46"/>
      <c r="L56" s="46"/>
      <c r="M56" s="46"/>
      <c r="N56" s="46"/>
      <c r="O56" s="46"/>
      <c r="P56" s="46"/>
      <c r="Q56" s="83"/>
      <c r="R56"/>
      <c r="S56" s="84"/>
      <c r="T56" s="46"/>
      <c r="U56" s="46"/>
      <c r="V56" s="46"/>
      <c r="W56" s="46"/>
      <c r="X56" s="46"/>
      <c r="Y56" s="46"/>
      <c r="Z56" s="83"/>
    </row>
    <row r="57" spans="1:26" ht="13.5" customHeight="1" x14ac:dyDescent="0.3">
      <c r="A57" s="84"/>
      <c r="B57" s="46"/>
      <c r="C57" s="46"/>
      <c r="D57" s="46"/>
      <c r="E57" s="46"/>
      <c r="F57" s="46"/>
      <c r="G57" s="46"/>
      <c r="H57" s="83"/>
      <c r="I57"/>
      <c r="J57" s="84"/>
      <c r="K57" s="46"/>
      <c r="L57" s="46"/>
      <c r="M57" s="46"/>
      <c r="N57" s="46"/>
      <c r="O57" s="46"/>
      <c r="P57" s="46"/>
      <c r="Q57" s="83"/>
      <c r="R57"/>
      <c r="S57" s="84"/>
      <c r="T57" s="46"/>
      <c r="U57" s="46"/>
      <c r="V57" s="46"/>
      <c r="W57" s="46"/>
      <c r="X57" s="46"/>
      <c r="Y57" s="46"/>
      <c r="Z57" s="83"/>
    </row>
    <row r="58" spans="1:26" ht="13.5" customHeight="1" x14ac:dyDescent="0.3">
      <c r="A58" s="84"/>
      <c r="B58" s="46"/>
      <c r="C58" s="46"/>
      <c r="D58" s="46"/>
      <c r="E58" s="46"/>
      <c r="F58" s="46"/>
      <c r="G58" s="46"/>
      <c r="H58" s="83"/>
      <c r="I58"/>
      <c r="J58" s="84"/>
      <c r="K58" s="46"/>
      <c r="L58" s="46"/>
      <c r="M58" s="46"/>
      <c r="N58" s="46"/>
      <c r="O58" s="46"/>
      <c r="P58" s="46"/>
      <c r="Q58" s="83"/>
      <c r="R58"/>
      <c r="S58" s="84"/>
      <c r="T58" s="46"/>
      <c r="U58" s="46"/>
      <c r="V58" s="46"/>
      <c r="W58" s="46"/>
      <c r="X58" s="46"/>
      <c r="Y58" s="46"/>
      <c r="Z58" s="83"/>
    </row>
    <row r="59" spans="1:26" ht="13.5" customHeight="1" x14ac:dyDescent="0.3">
      <c r="A59" s="84"/>
      <c r="B59" s="46"/>
      <c r="C59" s="46"/>
      <c r="D59" s="46"/>
      <c r="E59" s="46"/>
      <c r="F59" s="46"/>
      <c r="G59" s="46"/>
      <c r="H59" s="83"/>
      <c r="I59"/>
      <c r="J59" s="84"/>
      <c r="K59" s="46"/>
      <c r="L59" s="46"/>
      <c r="M59" s="46"/>
      <c r="N59" s="46"/>
      <c r="O59" s="46"/>
      <c r="P59" s="46"/>
      <c r="Q59" s="83"/>
      <c r="R59"/>
      <c r="S59" s="84"/>
      <c r="T59" s="46"/>
      <c r="U59" s="46"/>
      <c r="V59" s="46"/>
      <c r="W59" s="46"/>
      <c r="X59" s="46"/>
      <c r="Y59" s="46"/>
      <c r="Z59" s="83"/>
    </row>
    <row r="60" spans="1:26" ht="13.5" customHeight="1" x14ac:dyDescent="0.3">
      <c r="A60" s="84"/>
      <c r="B60" s="46"/>
      <c r="C60" s="46"/>
      <c r="D60" s="46"/>
      <c r="E60" s="46"/>
      <c r="F60" s="46"/>
      <c r="G60" s="46"/>
      <c r="H60" s="83"/>
      <c r="I60"/>
      <c r="J60" s="84"/>
      <c r="K60" s="46"/>
      <c r="L60" s="46"/>
      <c r="M60" s="46"/>
      <c r="N60" s="46"/>
      <c r="O60" s="46"/>
      <c r="P60" s="46"/>
      <c r="Q60" s="83"/>
      <c r="R60"/>
      <c r="S60" s="84"/>
      <c r="T60" s="46"/>
      <c r="U60" s="46"/>
      <c r="V60" s="46"/>
      <c r="W60" s="46"/>
      <c r="X60" s="46"/>
      <c r="Y60" s="46"/>
      <c r="Z60" s="83"/>
    </row>
    <row r="61" spans="1:26" ht="13.5" customHeight="1" x14ac:dyDescent="0.3">
      <c r="A61" s="84"/>
      <c r="B61" s="46"/>
      <c r="C61" s="46"/>
      <c r="D61" s="46"/>
      <c r="E61" s="46"/>
      <c r="F61" s="46"/>
      <c r="G61" s="46"/>
      <c r="H61" s="83"/>
      <c r="I61"/>
      <c r="J61" s="84"/>
      <c r="K61" s="46"/>
      <c r="L61" s="46"/>
      <c r="M61" s="46"/>
      <c r="N61" s="46"/>
      <c r="O61" s="46"/>
      <c r="P61" s="46"/>
      <c r="Q61" s="83"/>
      <c r="R61"/>
      <c r="S61" s="84"/>
      <c r="T61" s="46"/>
      <c r="U61" s="46"/>
      <c r="V61" s="46"/>
      <c r="W61" s="46"/>
      <c r="X61" s="46"/>
      <c r="Y61" s="46"/>
      <c r="Z61" s="83"/>
    </row>
    <row r="62" spans="1:26" ht="13.5" customHeight="1" x14ac:dyDescent="0.3">
      <c r="A62" s="84"/>
      <c r="B62" s="46"/>
      <c r="C62" s="46"/>
      <c r="D62" s="46"/>
      <c r="E62" s="46"/>
      <c r="F62" s="46"/>
      <c r="G62" s="46"/>
      <c r="H62" s="83"/>
      <c r="I62"/>
      <c r="J62" s="84"/>
      <c r="K62" s="46"/>
      <c r="L62" s="46"/>
      <c r="M62" s="46"/>
      <c r="N62" s="46"/>
      <c r="O62" s="46"/>
      <c r="P62" s="46"/>
      <c r="Q62" s="83"/>
      <c r="R62"/>
      <c r="S62" s="84"/>
      <c r="T62" s="46"/>
      <c r="U62" s="46"/>
      <c r="V62" s="46"/>
      <c r="W62" s="46"/>
      <c r="X62" s="46"/>
      <c r="Y62" s="46"/>
      <c r="Z62" s="83"/>
    </row>
    <row r="63" spans="1:26" ht="13.5" customHeight="1" x14ac:dyDescent="0.3">
      <c r="A63" s="84"/>
      <c r="B63" s="46"/>
      <c r="C63" s="46"/>
      <c r="D63" s="46"/>
      <c r="E63" s="46"/>
      <c r="F63" s="46"/>
      <c r="G63" s="46"/>
      <c r="H63" s="83"/>
      <c r="I63"/>
      <c r="J63" s="84"/>
      <c r="K63" s="46"/>
      <c r="L63" s="46"/>
      <c r="M63" s="46"/>
      <c r="N63" s="46"/>
      <c r="O63" s="46"/>
      <c r="P63" s="46"/>
      <c r="Q63" s="83"/>
      <c r="R63"/>
      <c r="S63" s="84"/>
      <c r="T63" s="46"/>
      <c r="U63" s="46"/>
      <c r="V63" s="46"/>
      <c r="W63" s="46"/>
      <c r="X63" s="46"/>
      <c r="Y63" s="46"/>
      <c r="Z63" s="83"/>
    </row>
    <row r="64" spans="1:26" ht="13.5" customHeight="1" x14ac:dyDescent="0.3">
      <c r="A64" s="84"/>
      <c r="B64" s="46"/>
      <c r="C64" s="46"/>
      <c r="D64" s="46"/>
      <c r="E64" s="46"/>
      <c r="F64" s="46"/>
      <c r="G64" s="46"/>
      <c r="H64" s="83"/>
      <c r="I64"/>
      <c r="J64" s="84"/>
      <c r="K64" s="46"/>
      <c r="L64" s="46"/>
      <c r="M64" s="46"/>
      <c r="N64" s="46"/>
      <c r="O64" s="46"/>
      <c r="P64" s="46"/>
      <c r="Q64" s="83"/>
      <c r="R64"/>
      <c r="S64" s="84"/>
      <c r="T64" s="46"/>
      <c r="U64" s="46"/>
      <c r="V64" s="46"/>
      <c r="W64" s="46"/>
      <c r="X64" s="46"/>
      <c r="Y64" s="46"/>
      <c r="Z64" s="83"/>
    </row>
    <row r="65" spans="1:26" ht="13.5" customHeight="1" x14ac:dyDescent="0.3">
      <c r="A65" s="84"/>
      <c r="B65" s="46"/>
      <c r="C65" s="46"/>
      <c r="D65" s="46"/>
      <c r="E65" s="46"/>
      <c r="F65" s="46"/>
      <c r="G65" s="46"/>
      <c r="H65" s="83"/>
      <c r="I65"/>
      <c r="J65" s="84"/>
      <c r="K65" s="46"/>
      <c r="L65" s="46"/>
      <c r="M65" s="46"/>
      <c r="N65" s="46"/>
      <c r="O65" s="46"/>
      <c r="P65" s="46"/>
      <c r="Q65" s="83"/>
      <c r="R65"/>
      <c r="S65" s="84"/>
      <c r="T65" s="46"/>
      <c r="U65" s="46"/>
      <c r="V65" s="46"/>
      <c r="W65" s="46"/>
      <c r="X65" s="46"/>
      <c r="Y65" s="46"/>
      <c r="Z65" s="83"/>
    </row>
    <row r="66" spans="1:26" ht="13.5" customHeight="1" x14ac:dyDescent="0.3">
      <c r="A66" s="84"/>
      <c r="B66" s="46"/>
      <c r="C66" s="46"/>
      <c r="D66" s="46"/>
      <c r="E66" s="46"/>
      <c r="F66" s="46"/>
      <c r="G66" s="46"/>
      <c r="H66" s="83"/>
      <c r="I66"/>
      <c r="J66" s="84"/>
      <c r="K66" s="46"/>
      <c r="L66" s="46"/>
      <c r="M66" s="46"/>
      <c r="N66" s="46"/>
      <c r="O66" s="46"/>
      <c r="P66" s="46"/>
      <c r="Q66" s="83"/>
      <c r="R66"/>
      <c r="S66" s="84"/>
      <c r="T66" s="46"/>
      <c r="U66" s="46"/>
      <c r="V66" s="46"/>
      <c r="W66" s="46"/>
      <c r="X66" s="46"/>
      <c r="Y66" s="46"/>
      <c r="Z66" s="83"/>
    </row>
    <row r="67" spans="1:26" ht="13.5" customHeight="1" x14ac:dyDescent="0.3">
      <c r="A67" s="84"/>
      <c r="B67" s="46"/>
      <c r="C67" s="46"/>
      <c r="D67" s="46"/>
      <c r="E67" s="46"/>
      <c r="F67" s="46"/>
      <c r="G67" s="46"/>
      <c r="H67" s="83"/>
      <c r="I67"/>
      <c r="J67" s="84"/>
      <c r="K67" s="46"/>
      <c r="L67" s="46"/>
      <c r="M67" s="46"/>
      <c r="N67" s="46"/>
      <c r="O67" s="46"/>
      <c r="P67" s="46"/>
      <c r="Q67" s="83"/>
      <c r="R67"/>
      <c r="S67" s="84"/>
      <c r="T67" s="46"/>
      <c r="U67" s="46"/>
      <c r="V67" s="46"/>
      <c r="W67" s="46"/>
      <c r="X67" s="46"/>
      <c r="Y67" s="46"/>
      <c r="Z67" s="83"/>
    </row>
    <row r="68" spans="1:26" ht="13.5" customHeight="1" x14ac:dyDescent="0.3">
      <c r="A68" s="84"/>
      <c r="B68" s="46"/>
      <c r="C68" s="46"/>
      <c r="D68" s="46"/>
      <c r="E68" s="46"/>
      <c r="F68" s="46"/>
      <c r="G68" s="46"/>
      <c r="H68" s="83"/>
      <c r="I68"/>
      <c r="J68" s="84"/>
      <c r="K68" s="46"/>
      <c r="L68" s="46"/>
      <c r="M68" s="46"/>
      <c r="N68" s="46"/>
      <c r="O68" s="46"/>
      <c r="P68" s="46"/>
      <c r="Q68" s="83"/>
      <c r="R68"/>
      <c r="S68" s="84"/>
      <c r="T68" s="46"/>
      <c r="U68" s="46"/>
      <c r="V68" s="46"/>
      <c r="W68" s="46"/>
      <c r="X68" s="46"/>
      <c r="Y68" s="46"/>
      <c r="Z68" s="83"/>
    </row>
    <row r="69" spans="1:26" ht="13.5" customHeight="1" x14ac:dyDescent="0.3">
      <c r="A69" s="84"/>
      <c r="B69" s="46"/>
      <c r="C69" s="46"/>
      <c r="D69" s="46"/>
      <c r="E69" s="46"/>
      <c r="F69" s="46"/>
      <c r="G69" s="46"/>
      <c r="H69" s="83"/>
      <c r="I69"/>
      <c r="J69" s="84"/>
      <c r="K69" s="46"/>
      <c r="L69" s="46"/>
      <c r="M69" s="46"/>
      <c r="N69" s="46"/>
      <c r="O69" s="46"/>
      <c r="P69" s="46"/>
      <c r="Q69" s="83"/>
      <c r="R69"/>
      <c r="S69" s="84"/>
      <c r="T69" s="46"/>
      <c r="U69" s="46"/>
      <c r="V69" s="46"/>
      <c r="W69" s="46"/>
      <c r="X69" s="46"/>
      <c r="Y69" s="46"/>
      <c r="Z69" s="83"/>
    </row>
    <row r="70" spans="1:26" ht="13.5" customHeight="1" thickBot="1" x14ac:dyDescent="0.35">
      <c r="A70" s="82"/>
      <c r="B70" s="81"/>
      <c r="C70" s="81"/>
      <c r="D70" s="81"/>
      <c r="E70" s="81"/>
      <c r="F70" s="81"/>
      <c r="G70" s="81"/>
      <c r="H70" s="80"/>
      <c r="I70"/>
      <c r="J70" s="82"/>
      <c r="K70" s="81"/>
      <c r="L70" s="81"/>
      <c r="M70" s="81"/>
      <c r="N70" s="81"/>
      <c r="O70" s="81"/>
      <c r="P70" s="81"/>
      <c r="Q70" s="80"/>
      <c r="R70"/>
      <c r="S70" s="82"/>
      <c r="T70" s="81"/>
      <c r="U70" s="81"/>
      <c r="V70" s="81"/>
      <c r="W70" s="81"/>
      <c r="X70" s="81"/>
      <c r="Y70" s="81"/>
      <c r="Z70" s="80"/>
    </row>
    <row r="71" spans="1:26" ht="13.5" customHeight="1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1:26" ht="13.5" customHeight="1" thickBot="1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1:26" ht="13.5" customHeight="1" x14ac:dyDescent="0.3">
      <c r="A73" s="87"/>
      <c r="B73" s="86"/>
      <c r="C73" s="86"/>
      <c r="D73" s="232" t="s">
        <v>24</v>
      </c>
      <c r="E73" s="234"/>
      <c r="F73" s="86"/>
      <c r="G73" s="86"/>
      <c r="H73" s="85"/>
      <c r="I73"/>
      <c r="J73" s="87"/>
      <c r="K73" s="86"/>
      <c r="L73" s="232" t="s">
        <v>340</v>
      </c>
      <c r="M73" s="233"/>
      <c r="N73" s="233"/>
      <c r="O73" s="234"/>
      <c r="P73" s="86"/>
      <c r="Q73" s="85"/>
      <c r="S73" s="87"/>
      <c r="T73" s="86"/>
      <c r="U73" s="86"/>
      <c r="V73" s="238" t="s">
        <v>20</v>
      </c>
      <c r="W73" s="240"/>
      <c r="X73" s="86"/>
      <c r="Y73" s="86"/>
      <c r="Z73" s="85"/>
    </row>
    <row r="74" spans="1:26" ht="13.5" customHeight="1" thickBot="1" x14ac:dyDescent="0.35">
      <c r="A74" s="84"/>
      <c r="B74" s="46"/>
      <c r="C74" s="46"/>
      <c r="D74" s="235"/>
      <c r="E74" s="237"/>
      <c r="F74" s="46"/>
      <c r="G74" s="46"/>
      <c r="H74" s="83"/>
      <c r="I74"/>
      <c r="J74" s="84"/>
      <c r="K74" s="46"/>
      <c r="L74" s="235"/>
      <c r="M74" s="236"/>
      <c r="N74" s="236"/>
      <c r="O74" s="237"/>
      <c r="P74" s="46"/>
      <c r="Q74" s="83"/>
      <c r="S74" s="84"/>
      <c r="T74" s="46"/>
      <c r="U74" s="46"/>
      <c r="V74" s="241"/>
      <c r="W74" s="243"/>
      <c r="X74" s="46"/>
      <c r="Y74" s="46"/>
      <c r="Z74" s="83"/>
    </row>
    <row r="75" spans="1:26" ht="13.5" customHeight="1" x14ac:dyDescent="0.3">
      <c r="A75" s="84"/>
      <c r="B75" s="46"/>
      <c r="C75" s="46"/>
      <c r="D75" s="46"/>
      <c r="E75" s="46"/>
      <c r="F75" s="46"/>
      <c r="G75" s="46"/>
      <c r="H75" s="83"/>
      <c r="I75"/>
      <c r="J75" s="84"/>
      <c r="K75" s="46"/>
      <c r="L75" s="46"/>
      <c r="M75" s="46"/>
      <c r="N75" s="46"/>
      <c r="O75" s="46"/>
      <c r="P75" s="46"/>
      <c r="Q75" s="83"/>
      <c r="S75" s="84"/>
      <c r="T75" s="46"/>
      <c r="U75" s="46"/>
      <c r="V75" s="46"/>
      <c r="W75" s="46"/>
      <c r="X75" s="46"/>
      <c r="Y75" s="46"/>
      <c r="Z75" s="83"/>
    </row>
    <row r="76" spans="1:26" ht="13.5" customHeight="1" x14ac:dyDescent="0.3">
      <c r="A76" s="84"/>
      <c r="B76" s="46"/>
      <c r="C76" s="46"/>
      <c r="D76" s="46"/>
      <c r="E76" s="46"/>
      <c r="F76" s="46"/>
      <c r="G76" s="46"/>
      <c r="H76" s="83"/>
      <c r="I76"/>
      <c r="J76" s="84"/>
      <c r="K76" s="46"/>
      <c r="L76" s="46"/>
      <c r="M76" s="46"/>
      <c r="N76" s="46"/>
      <c r="O76" s="46"/>
      <c r="P76" s="46"/>
      <c r="Q76" s="83"/>
      <c r="S76" s="84"/>
      <c r="T76" s="46"/>
      <c r="U76" s="46"/>
      <c r="V76" s="46"/>
      <c r="W76" s="46"/>
      <c r="X76" s="46"/>
      <c r="Y76" s="46"/>
      <c r="Z76" s="83"/>
    </row>
    <row r="77" spans="1:26" ht="13.5" customHeight="1" x14ac:dyDescent="0.3">
      <c r="A77" s="84"/>
      <c r="B77" s="46"/>
      <c r="C77" s="46"/>
      <c r="D77" s="46"/>
      <c r="E77" s="46"/>
      <c r="F77" s="46"/>
      <c r="G77" s="46"/>
      <c r="H77" s="83"/>
      <c r="I77"/>
      <c r="J77" s="84"/>
      <c r="K77" s="46"/>
      <c r="L77" s="46"/>
      <c r="M77" s="46"/>
      <c r="N77" s="46"/>
      <c r="O77" s="46"/>
      <c r="P77" s="46"/>
      <c r="Q77" s="83"/>
      <c r="S77" s="84"/>
      <c r="T77" s="46"/>
      <c r="U77" s="46"/>
      <c r="V77" s="46"/>
      <c r="W77" s="46"/>
      <c r="X77" s="46"/>
      <c r="Y77" s="46"/>
      <c r="Z77" s="83"/>
    </row>
    <row r="78" spans="1:26" ht="13.5" customHeight="1" x14ac:dyDescent="0.3">
      <c r="A78" s="84"/>
      <c r="B78" s="46"/>
      <c r="C78" s="46"/>
      <c r="D78" s="46"/>
      <c r="E78" s="46"/>
      <c r="F78" s="46"/>
      <c r="G78" s="46"/>
      <c r="H78" s="83"/>
      <c r="I78"/>
      <c r="J78" s="84"/>
      <c r="K78" s="46"/>
      <c r="L78" s="46"/>
      <c r="M78" s="46"/>
      <c r="N78" s="46"/>
      <c r="O78" s="46"/>
      <c r="P78" s="46"/>
      <c r="Q78" s="83"/>
      <c r="S78" s="84"/>
      <c r="T78" s="46"/>
      <c r="U78" s="46"/>
      <c r="V78" s="46"/>
      <c r="W78" s="46"/>
      <c r="X78" s="46"/>
      <c r="Y78" s="46"/>
      <c r="Z78" s="83"/>
    </row>
    <row r="79" spans="1:26" ht="13.5" customHeight="1" x14ac:dyDescent="0.3">
      <c r="A79" s="84"/>
      <c r="B79" s="46"/>
      <c r="C79" s="46"/>
      <c r="D79" s="46"/>
      <c r="E79" s="46"/>
      <c r="F79" s="46"/>
      <c r="G79" s="46"/>
      <c r="H79" s="83"/>
      <c r="I79"/>
      <c r="J79" s="84"/>
      <c r="K79" s="46"/>
      <c r="L79" s="46"/>
      <c r="M79" s="46"/>
      <c r="N79" s="46"/>
      <c r="O79" s="46"/>
      <c r="P79" s="46"/>
      <c r="Q79" s="83"/>
      <c r="S79" s="84"/>
      <c r="T79" s="46"/>
      <c r="U79" s="46"/>
      <c r="V79" s="46"/>
      <c r="W79" s="46"/>
      <c r="X79" s="46"/>
      <c r="Y79" s="46"/>
      <c r="Z79" s="83"/>
    </row>
    <row r="80" spans="1:26" ht="13.5" customHeight="1" x14ac:dyDescent="0.3">
      <c r="A80" s="84"/>
      <c r="B80" s="46"/>
      <c r="C80" s="46"/>
      <c r="D80" s="46"/>
      <c r="E80" s="46"/>
      <c r="F80" s="46"/>
      <c r="G80" s="46"/>
      <c r="H80" s="83"/>
      <c r="I80"/>
      <c r="J80" s="84"/>
      <c r="K80" s="46"/>
      <c r="L80" s="46"/>
      <c r="M80" s="46"/>
      <c r="N80" s="46"/>
      <c r="O80" s="46"/>
      <c r="P80" s="46"/>
      <c r="Q80" s="83"/>
      <c r="S80" s="84"/>
      <c r="T80" s="46"/>
      <c r="U80" s="46"/>
      <c r="V80" s="46"/>
      <c r="W80" s="46"/>
      <c r="X80" s="46"/>
      <c r="Y80" s="46"/>
      <c r="Z80" s="83"/>
    </row>
    <row r="81" spans="1:26" ht="13.5" customHeight="1" x14ac:dyDescent="0.3">
      <c r="A81" s="84"/>
      <c r="B81" s="46"/>
      <c r="C81" s="46"/>
      <c r="D81" s="46"/>
      <c r="E81" s="46"/>
      <c r="F81" s="46"/>
      <c r="G81" s="46"/>
      <c r="H81" s="83"/>
      <c r="I81"/>
      <c r="J81" s="84"/>
      <c r="K81" s="46"/>
      <c r="L81" s="46"/>
      <c r="M81" s="46"/>
      <c r="N81" s="46"/>
      <c r="O81" s="46"/>
      <c r="P81" s="46"/>
      <c r="Q81" s="83"/>
      <c r="S81" s="84"/>
      <c r="T81" s="46"/>
      <c r="U81" s="46"/>
      <c r="V81" s="46"/>
      <c r="W81" s="46"/>
      <c r="X81" s="46"/>
      <c r="Y81" s="46"/>
      <c r="Z81" s="83"/>
    </row>
    <row r="82" spans="1:26" ht="13.5" customHeight="1" x14ac:dyDescent="0.3">
      <c r="A82" s="84"/>
      <c r="B82" s="46"/>
      <c r="C82" s="46"/>
      <c r="D82" s="46"/>
      <c r="E82" s="46"/>
      <c r="F82" s="46"/>
      <c r="G82" s="46"/>
      <c r="H82" s="83"/>
      <c r="I82"/>
      <c r="J82" s="84"/>
      <c r="K82" s="46"/>
      <c r="L82" s="46"/>
      <c r="M82" s="46"/>
      <c r="N82" s="46"/>
      <c r="O82" s="46"/>
      <c r="P82" s="46"/>
      <c r="Q82" s="83"/>
      <c r="S82" s="84"/>
      <c r="T82" s="46"/>
      <c r="U82" s="46"/>
      <c r="V82" s="46"/>
      <c r="W82" s="46"/>
      <c r="X82" s="46"/>
      <c r="Y82" s="46"/>
      <c r="Z82" s="83"/>
    </row>
    <row r="83" spans="1:26" ht="13.5" customHeight="1" x14ac:dyDescent="0.3">
      <c r="A83" s="84"/>
      <c r="B83" s="46"/>
      <c r="C83" s="46"/>
      <c r="D83" s="46"/>
      <c r="E83" s="46"/>
      <c r="F83" s="46"/>
      <c r="G83" s="46"/>
      <c r="H83" s="83"/>
      <c r="I83"/>
      <c r="J83" s="84"/>
      <c r="K83" s="46"/>
      <c r="L83" s="46"/>
      <c r="M83" s="46"/>
      <c r="N83" s="46"/>
      <c r="O83" s="46"/>
      <c r="P83" s="46"/>
      <c r="Q83" s="83"/>
      <c r="S83" s="84"/>
      <c r="T83" s="46"/>
      <c r="U83" s="46"/>
      <c r="V83" s="46"/>
      <c r="W83" s="46"/>
      <c r="X83" s="46"/>
      <c r="Y83" s="46"/>
      <c r="Z83" s="83"/>
    </row>
    <row r="84" spans="1:26" ht="13.5" customHeight="1" x14ac:dyDescent="0.3">
      <c r="A84" s="84"/>
      <c r="B84" s="46"/>
      <c r="C84" s="46"/>
      <c r="D84" s="46"/>
      <c r="E84" s="46"/>
      <c r="F84" s="46"/>
      <c r="G84" s="46"/>
      <c r="H84" s="83"/>
      <c r="I84"/>
      <c r="J84" s="84"/>
      <c r="K84" s="46"/>
      <c r="L84" s="46"/>
      <c r="M84" s="46"/>
      <c r="N84" s="46"/>
      <c r="O84" s="46"/>
      <c r="P84" s="46"/>
      <c r="Q84" s="83"/>
      <c r="S84" s="84"/>
      <c r="T84" s="46"/>
      <c r="U84" s="46"/>
      <c r="V84" s="46"/>
      <c r="W84" s="46"/>
      <c r="X84" s="46"/>
      <c r="Y84" s="46"/>
      <c r="Z84" s="83"/>
    </row>
    <row r="85" spans="1:26" ht="13.5" customHeight="1" x14ac:dyDescent="0.3">
      <c r="A85" s="84"/>
      <c r="B85" s="46"/>
      <c r="C85" s="46"/>
      <c r="D85" s="46"/>
      <c r="E85" s="46"/>
      <c r="F85" s="46"/>
      <c r="G85" s="46"/>
      <c r="H85" s="83"/>
      <c r="I85"/>
      <c r="J85" s="84"/>
      <c r="K85" s="46"/>
      <c r="L85" s="46"/>
      <c r="M85" s="46"/>
      <c r="N85" s="46"/>
      <c r="O85" s="46"/>
      <c r="P85" s="46"/>
      <c r="Q85" s="83"/>
      <c r="S85" s="84"/>
      <c r="T85" s="46"/>
      <c r="U85" s="46"/>
      <c r="V85" s="46"/>
      <c r="W85" s="46"/>
      <c r="X85" s="46"/>
      <c r="Y85" s="46"/>
      <c r="Z85" s="83"/>
    </row>
    <row r="86" spans="1:26" ht="13.5" customHeight="1" x14ac:dyDescent="0.3">
      <c r="A86" s="84"/>
      <c r="B86" s="46"/>
      <c r="C86" s="46"/>
      <c r="D86" s="46"/>
      <c r="E86" s="46"/>
      <c r="F86" s="46"/>
      <c r="G86" s="46"/>
      <c r="H86" s="83"/>
      <c r="I86"/>
      <c r="J86" s="84"/>
      <c r="K86" s="46"/>
      <c r="L86" s="46"/>
      <c r="M86" s="46"/>
      <c r="N86" s="46"/>
      <c r="O86" s="46"/>
      <c r="P86" s="46"/>
      <c r="Q86" s="83"/>
      <c r="S86" s="84"/>
      <c r="T86" s="46"/>
      <c r="U86" s="46"/>
      <c r="V86" s="46"/>
      <c r="W86" s="46"/>
      <c r="X86" s="46"/>
      <c r="Y86" s="46"/>
      <c r="Z86" s="83"/>
    </row>
    <row r="87" spans="1:26" ht="13.5" customHeight="1" x14ac:dyDescent="0.3">
      <c r="A87" s="84"/>
      <c r="B87" s="46"/>
      <c r="C87" s="46"/>
      <c r="D87" s="46"/>
      <c r="E87" s="46"/>
      <c r="F87" s="46"/>
      <c r="G87" s="46"/>
      <c r="H87" s="83"/>
      <c r="I87"/>
      <c r="J87" s="84"/>
      <c r="K87" s="46"/>
      <c r="L87" s="46"/>
      <c r="M87" s="46"/>
      <c r="N87" s="46"/>
      <c r="O87" s="46"/>
      <c r="P87" s="46"/>
      <c r="Q87" s="83"/>
      <c r="S87" s="84"/>
      <c r="T87" s="46"/>
      <c r="U87" s="46"/>
      <c r="V87" s="46"/>
      <c r="W87" s="46"/>
      <c r="X87" s="46"/>
      <c r="Y87" s="46"/>
      <c r="Z87" s="83"/>
    </row>
    <row r="88" spans="1:26" ht="13.5" customHeight="1" x14ac:dyDescent="0.3">
      <c r="A88" s="84"/>
      <c r="B88" s="46"/>
      <c r="C88" s="46"/>
      <c r="D88" s="46"/>
      <c r="E88" s="46"/>
      <c r="F88" s="46"/>
      <c r="G88" s="46"/>
      <c r="H88" s="83"/>
      <c r="I88"/>
      <c r="J88" s="84"/>
      <c r="K88" s="46"/>
      <c r="L88" s="46"/>
      <c r="M88" s="46"/>
      <c r="N88" s="46"/>
      <c r="O88" s="46"/>
      <c r="P88" s="46"/>
      <c r="Q88" s="83"/>
      <c r="S88" s="84"/>
      <c r="T88" s="46"/>
      <c r="U88" s="46"/>
      <c r="V88" s="46"/>
      <c r="W88" s="46"/>
      <c r="X88" s="46"/>
      <c r="Y88" s="46"/>
      <c r="Z88" s="83"/>
    </row>
    <row r="89" spans="1:26" ht="13.5" customHeight="1" x14ac:dyDescent="0.3">
      <c r="A89" s="84"/>
      <c r="B89" s="46"/>
      <c r="C89" s="46"/>
      <c r="D89" s="46"/>
      <c r="E89" s="46"/>
      <c r="F89" s="46"/>
      <c r="G89" s="46"/>
      <c r="H89" s="83"/>
      <c r="I89"/>
      <c r="J89" s="84"/>
      <c r="K89" s="46"/>
      <c r="L89" s="46"/>
      <c r="M89" s="46"/>
      <c r="N89" s="46"/>
      <c r="O89" s="46"/>
      <c r="P89" s="46"/>
      <c r="Q89" s="83"/>
      <c r="S89" s="84"/>
      <c r="T89" s="46"/>
      <c r="U89" s="46"/>
      <c r="V89" s="46"/>
      <c r="W89" s="46"/>
      <c r="X89" s="46"/>
      <c r="Y89" s="46"/>
      <c r="Z89" s="83"/>
    </row>
    <row r="90" spans="1:26" ht="13.5" customHeight="1" thickBot="1" x14ac:dyDescent="0.35">
      <c r="A90" s="82"/>
      <c r="B90" s="81"/>
      <c r="C90" s="81"/>
      <c r="D90" s="81"/>
      <c r="E90" s="81"/>
      <c r="F90" s="81"/>
      <c r="G90" s="81"/>
      <c r="H90" s="80"/>
      <c r="I90"/>
      <c r="J90" s="82"/>
      <c r="K90" s="81"/>
      <c r="L90" s="81"/>
      <c r="M90" s="81"/>
      <c r="N90" s="81"/>
      <c r="O90" s="81"/>
      <c r="P90" s="81"/>
      <c r="Q90" s="80"/>
      <c r="S90" s="82"/>
      <c r="T90" s="81"/>
      <c r="U90" s="81"/>
      <c r="V90" s="81"/>
      <c r="W90" s="81"/>
      <c r="X90" s="81"/>
      <c r="Y90" s="81"/>
      <c r="Z90" s="80"/>
    </row>
    <row r="91" spans="1:26" ht="13.5" customHeight="1" x14ac:dyDescent="0.3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1:26" ht="13.5" customHeight="1" x14ac:dyDescent="0.3">
      <c r="A92"/>
      <c r="B92"/>
      <c r="C92"/>
      <c r="D92"/>
      <c r="E92"/>
      <c r="F92"/>
      <c r="G92"/>
      <c r="H92"/>
      <c r="V92"/>
      <c r="W92"/>
      <c r="X92"/>
      <c r="Y92"/>
      <c r="Z92"/>
    </row>
    <row r="113" spans="1:18" ht="33" customHeight="1" x14ac:dyDescent="0.5">
      <c r="A113" s="139" t="s">
        <v>28</v>
      </c>
    </row>
    <row r="116" spans="1:18" ht="13.5" customHeight="1" thickBot="1" x14ac:dyDescent="0.35"/>
    <row r="117" spans="1:18" ht="13.5" customHeight="1" x14ac:dyDescent="0.3">
      <c r="A117" s="125" t="s">
        <v>29</v>
      </c>
      <c r="B117" s="126" t="s">
        <v>480</v>
      </c>
      <c r="C117" s="127" t="s">
        <v>481</v>
      </c>
      <c r="D117" s="127" t="s">
        <v>482</v>
      </c>
      <c r="E117" s="127" t="s">
        <v>483</v>
      </c>
      <c r="F117" s="127" t="s">
        <v>484</v>
      </c>
      <c r="G117" s="127" t="s">
        <v>254</v>
      </c>
      <c r="H117" s="127" t="s">
        <v>485</v>
      </c>
      <c r="I117" s="126" t="s">
        <v>486</v>
      </c>
      <c r="J117" s="126" t="s">
        <v>487</v>
      </c>
      <c r="K117" s="126" t="s">
        <v>488</v>
      </c>
      <c r="L117" s="126" t="s">
        <v>489</v>
      </c>
      <c r="M117" s="127" t="s">
        <v>490</v>
      </c>
      <c r="N117" s="127" t="s">
        <v>32</v>
      </c>
      <c r="O117" s="128" t="s">
        <v>491</v>
      </c>
      <c r="P117" s="127" t="s">
        <v>492</v>
      </c>
      <c r="Q117" s="127" t="s">
        <v>9</v>
      </c>
      <c r="R117" s="127" t="s">
        <v>10</v>
      </c>
    </row>
    <row r="118" spans="1:18" ht="13.5" customHeight="1" x14ac:dyDescent="0.25">
      <c r="A118" s="131" t="s">
        <v>493</v>
      </c>
      <c r="B118" s="115">
        <v>162.5</v>
      </c>
      <c r="C118" s="115"/>
      <c r="D118" s="115">
        <f>(0.922*B118-4.405)</f>
        <v>145.42000000000002</v>
      </c>
      <c r="E118" s="115"/>
      <c r="F118" s="115"/>
      <c r="G118" s="115"/>
      <c r="H118" s="115"/>
      <c r="I118" s="115"/>
      <c r="J118" s="115"/>
      <c r="K118" s="115">
        <f>(0.514*H118)/(SQRT(9.81*D118))</f>
        <v>0</v>
      </c>
      <c r="L118" s="115"/>
      <c r="M118" s="115"/>
      <c r="N118" s="115"/>
      <c r="O118" s="115"/>
      <c r="P118" s="115"/>
      <c r="Q118" s="115"/>
      <c r="R118" s="115" t="e">
        <f>E118/F118</f>
        <v>#DIV/0!</v>
      </c>
    </row>
    <row r="119" spans="1:18" ht="13.5" customHeight="1" x14ac:dyDescent="0.25">
      <c r="A119" s="131" t="s">
        <v>494</v>
      </c>
      <c r="B119" s="116">
        <v>162</v>
      </c>
      <c r="C119" s="116"/>
      <c r="D119" s="116">
        <f>(0.922*B119-4.405)</f>
        <v>144.959</v>
      </c>
      <c r="E119" s="117">
        <v>22</v>
      </c>
      <c r="F119" s="117">
        <v>5</v>
      </c>
      <c r="G119" s="115"/>
      <c r="H119" s="117"/>
      <c r="I119" s="115" t="s">
        <v>495</v>
      </c>
      <c r="J119" s="115">
        <f>4*7177</f>
        <v>28708</v>
      </c>
      <c r="K119" s="115">
        <f t="shared" ref="K119:K164" si="0">(0.514*H119)/(SQRT(9.81*D119))</f>
        <v>0</v>
      </c>
      <c r="L119" s="115"/>
      <c r="M119" s="115">
        <v>72</v>
      </c>
      <c r="N119" s="115">
        <v>115</v>
      </c>
      <c r="O119" s="115">
        <f>(M119+N119)</f>
        <v>187</v>
      </c>
      <c r="P119" s="115"/>
      <c r="Q119" s="115">
        <f t="shared" ref="Q119:Q164" si="1">D119/E119</f>
        <v>6.5890454545454551</v>
      </c>
      <c r="R119" s="115">
        <f t="shared" ref="R119:R164" si="2">E119/F119</f>
        <v>4.4000000000000004</v>
      </c>
    </row>
    <row r="120" spans="1:18" ht="13.5" customHeight="1" x14ac:dyDescent="0.25">
      <c r="A120" s="131" t="s">
        <v>496</v>
      </c>
      <c r="B120" s="115">
        <v>155</v>
      </c>
      <c r="C120" s="115"/>
      <c r="D120" s="116">
        <f>(0.922*B120-4.405)</f>
        <v>138.505</v>
      </c>
      <c r="E120" s="115">
        <v>24</v>
      </c>
      <c r="F120" s="115">
        <v>5.2</v>
      </c>
      <c r="G120" s="115">
        <v>15</v>
      </c>
      <c r="H120" s="115"/>
      <c r="I120" s="115"/>
      <c r="J120" s="115"/>
      <c r="K120" s="115">
        <f t="shared" si="0"/>
        <v>0</v>
      </c>
      <c r="L120" s="115">
        <f t="shared" ref="L120:L164" si="3">(0.514*G120)/(SQRT(9.81*D120))</f>
        <v>0.20916410112805012</v>
      </c>
      <c r="M120" s="115"/>
      <c r="N120" s="115"/>
      <c r="O120" s="115"/>
      <c r="P120" s="115"/>
      <c r="Q120" s="115">
        <f t="shared" si="1"/>
        <v>5.7710416666666662</v>
      </c>
      <c r="R120" s="115">
        <f t="shared" si="2"/>
        <v>4.615384615384615</v>
      </c>
    </row>
    <row r="121" spans="1:18" ht="13.5" customHeight="1" x14ac:dyDescent="0.25">
      <c r="A121" s="131" t="s">
        <v>497</v>
      </c>
      <c r="B121" s="115">
        <v>147</v>
      </c>
      <c r="C121" s="115">
        <v>131.43</v>
      </c>
      <c r="D121" s="117">
        <v>131.43</v>
      </c>
      <c r="E121" s="115">
        <v>18.3</v>
      </c>
      <c r="F121" s="117">
        <v>4.9000000000000004</v>
      </c>
      <c r="G121" s="115">
        <v>18</v>
      </c>
      <c r="H121" s="115">
        <v>22</v>
      </c>
      <c r="I121" s="115" t="s">
        <v>498</v>
      </c>
      <c r="J121" s="115">
        <f>2*5816</f>
        <v>11632</v>
      </c>
      <c r="K121" s="115">
        <f>(0.514*H121)/(SQRT(9.81*D121))</f>
        <v>0.31492275507758477</v>
      </c>
      <c r="L121" s="115">
        <f t="shared" si="3"/>
        <v>0.25766407233620575</v>
      </c>
      <c r="M121" s="115"/>
      <c r="N121" s="115"/>
      <c r="O121" s="115"/>
      <c r="P121" s="115"/>
      <c r="Q121" s="115">
        <f t="shared" si="1"/>
        <v>7.1819672131147545</v>
      </c>
      <c r="R121" s="115">
        <f t="shared" si="2"/>
        <v>3.7346938775510203</v>
      </c>
    </row>
    <row r="122" spans="1:18" ht="13.5" customHeight="1" x14ac:dyDescent="0.25">
      <c r="A122" s="131" t="s">
        <v>499</v>
      </c>
      <c r="B122" s="115">
        <v>146</v>
      </c>
      <c r="C122" s="115"/>
      <c r="D122" s="117">
        <f>B122</f>
        <v>146</v>
      </c>
      <c r="E122" s="115">
        <v>13</v>
      </c>
      <c r="F122" s="115">
        <v>5.35</v>
      </c>
      <c r="G122" s="115"/>
      <c r="H122" s="115"/>
      <c r="I122" s="115" t="s">
        <v>500</v>
      </c>
      <c r="J122" s="115">
        <f>2*4847</f>
        <v>9694</v>
      </c>
      <c r="K122" s="115">
        <f t="shared" si="0"/>
        <v>0</v>
      </c>
      <c r="L122" s="115"/>
      <c r="M122" s="115"/>
      <c r="N122" s="115"/>
      <c r="O122" s="115"/>
      <c r="P122" s="115"/>
      <c r="Q122" s="115">
        <f t="shared" si="1"/>
        <v>11.23076923076923</v>
      </c>
      <c r="R122" s="115">
        <f t="shared" si="2"/>
        <v>2.429906542056075</v>
      </c>
    </row>
    <row r="123" spans="1:18" ht="13.5" customHeight="1" x14ac:dyDescent="0.35">
      <c r="A123" s="131" t="s">
        <v>501</v>
      </c>
      <c r="B123" s="115">
        <v>141</v>
      </c>
      <c r="C123" s="115"/>
      <c r="D123" s="115">
        <f>(0.922*B123- 4.405)</f>
        <v>125.59700000000001</v>
      </c>
      <c r="E123" s="115">
        <v>15</v>
      </c>
      <c r="F123" s="115">
        <v>4.3</v>
      </c>
      <c r="G123" s="115">
        <v>23</v>
      </c>
      <c r="H123" s="115">
        <v>26</v>
      </c>
      <c r="I123" s="115" t="s">
        <v>502</v>
      </c>
      <c r="J123" s="115">
        <f>2*7830</f>
        <v>15660</v>
      </c>
      <c r="K123" s="115">
        <f t="shared" si="0"/>
        <v>0.38072581960700536</v>
      </c>
      <c r="L123" s="120">
        <f t="shared" si="3"/>
        <v>0.33679591734465858</v>
      </c>
      <c r="M123" s="115"/>
      <c r="N123" s="115"/>
      <c r="O123" s="115"/>
      <c r="P123" s="115" t="s">
        <v>503</v>
      </c>
      <c r="Q123" s="115">
        <f t="shared" si="1"/>
        <v>8.3731333333333335</v>
      </c>
      <c r="R123" s="115">
        <f t="shared" si="2"/>
        <v>3.4883720930232558</v>
      </c>
    </row>
    <row r="124" spans="1:18" ht="13.5" customHeight="1" x14ac:dyDescent="0.25">
      <c r="A124" s="131" t="s">
        <v>504</v>
      </c>
      <c r="B124" s="115">
        <v>139</v>
      </c>
      <c r="C124" s="115"/>
      <c r="D124" s="115">
        <f>(0.922*B124- 4.405)</f>
        <v>123.75300000000001</v>
      </c>
      <c r="E124" s="115">
        <v>23.5</v>
      </c>
      <c r="F124" s="115">
        <v>5</v>
      </c>
      <c r="G124" s="115"/>
      <c r="H124" s="115">
        <v>21.5</v>
      </c>
      <c r="I124" s="115" t="s">
        <v>505</v>
      </c>
      <c r="J124" s="115">
        <f>2*6500</f>
        <v>13000</v>
      </c>
      <c r="K124" s="115">
        <f t="shared" si="0"/>
        <v>0.31716788583942429</v>
      </c>
      <c r="L124" s="115"/>
      <c r="M124" s="115"/>
      <c r="N124" s="115"/>
      <c r="O124" s="115"/>
      <c r="P124" s="115"/>
      <c r="Q124" s="115">
        <f t="shared" si="1"/>
        <v>5.2660851063829792</v>
      </c>
      <c r="R124" s="115">
        <f t="shared" si="2"/>
        <v>4.7</v>
      </c>
    </row>
    <row r="125" spans="1:18" ht="13.5" customHeight="1" x14ac:dyDescent="0.25">
      <c r="A125" s="131" t="s">
        <v>506</v>
      </c>
      <c r="B125" s="115">
        <v>138</v>
      </c>
      <c r="C125" s="115"/>
      <c r="D125" s="115">
        <f>(0.922*B125- 4.405)</f>
        <v>122.831</v>
      </c>
      <c r="E125" s="115">
        <v>19</v>
      </c>
      <c r="F125" s="115">
        <v>4.9000000000000004</v>
      </c>
      <c r="G125" s="115">
        <v>26</v>
      </c>
      <c r="H125" s="115">
        <v>28</v>
      </c>
      <c r="I125" s="115" t="s">
        <v>507</v>
      </c>
      <c r="J125" s="115">
        <f>4*9000</f>
        <v>36000</v>
      </c>
      <c r="K125" s="115">
        <f t="shared" si="0"/>
        <v>0.41460320296916053</v>
      </c>
      <c r="L125" s="115">
        <f t="shared" si="3"/>
        <v>0.38498868847136336</v>
      </c>
      <c r="M125" s="115"/>
      <c r="N125" s="115"/>
      <c r="O125" s="115"/>
      <c r="P125" s="115"/>
      <c r="Q125" s="115">
        <f t="shared" si="1"/>
        <v>6.4647894736842106</v>
      </c>
      <c r="R125" s="115">
        <f t="shared" si="2"/>
        <v>3.8775510204081631</v>
      </c>
    </row>
    <row r="126" spans="1:18" ht="13.5" customHeight="1" x14ac:dyDescent="0.25">
      <c r="A126" s="131" t="s">
        <v>508</v>
      </c>
      <c r="B126" s="115">
        <v>136.33000000000001</v>
      </c>
      <c r="C126" s="117">
        <v>125.02</v>
      </c>
      <c r="D126" s="117">
        <v>125.02</v>
      </c>
      <c r="E126" s="117">
        <v>21.04</v>
      </c>
      <c r="F126" s="117">
        <v>6.01</v>
      </c>
      <c r="G126" s="115">
        <v>19</v>
      </c>
      <c r="H126" s="115">
        <v>21</v>
      </c>
      <c r="I126" s="117" t="s">
        <v>509</v>
      </c>
      <c r="J126" s="115">
        <f>4*3132</f>
        <v>12528</v>
      </c>
      <c r="K126" s="115">
        <f t="shared" si="0"/>
        <v>0.30821811691436063</v>
      </c>
      <c r="L126" s="117">
        <f t="shared" si="3"/>
        <v>0.27886401054156434</v>
      </c>
      <c r="M126" s="117"/>
      <c r="N126" s="115">
        <v>130</v>
      </c>
      <c r="O126" s="115">
        <f t="shared" ref="O126:O162" si="4">(M126+N126)</f>
        <v>130</v>
      </c>
      <c r="P126" s="115"/>
      <c r="Q126" s="115">
        <f t="shared" si="1"/>
        <v>5.9420152091254756</v>
      </c>
      <c r="R126" s="115">
        <f t="shared" si="2"/>
        <v>3.5008319467554077</v>
      </c>
    </row>
    <row r="127" spans="1:18" ht="13.5" customHeight="1" x14ac:dyDescent="0.25">
      <c r="A127" s="131" t="s">
        <v>510</v>
      </c>
      <c r="B127" s="115">
        <v>136</v>
      </c>
      <c r="C127" s="117"/>
      <c r="D127" s="117">
        <f>B127</f>
        <v>136</v>
      </c>
      <c r="E127" s="117">
        <v>16</v>
      </c>
      <c r="F127" s="117">
        <v>6.1</v>
      </c>
      <c r="G127" s="115">
        <v>16</v>
      </c>
      <c r="H127" s="115">
        <v>18</v>
      </c>
      <c r="I127" s="115" t="s">
        <v>511</v>
      </c>
      <c r="J127" s="115">
        <f>2*2685</f>
        <v>5370</v>
      </c>
      <c r="K127" s="115">
        <f t="shared" si="0"/>
        <v>0.2532979449061637</v>
      </c>
      <c r="L127" s="117">
        <f t="shared" si="3"/>
        <v>0.22515372880547882</v>
      </c>
      <c r="M127" s="117"/>
      <c r="N127" s="115"/>
      <c r="O127" s="115">
        <f t="shared" si="4"/>
        <v>0</v>
      </c>
      <c r="P127" s="115"/>
      <c r="Q127" s="115">
        <f t="shared" si="1"/>
        <v>8.5</v>
      </c>
      <c r="R127" s="115">
        <f t="shared" si="2"/>
        <v>2.6229508196721314</v>
      </c>
    </row>
    <row r="128" spans="1:18" ht="13.5" customHeight="1" x14ac:dyDescent="0.25">
      <c r="A128" s="133" t="s">
        <v>512</v>
      </c>
      <c r="B128" s="115">
        <v>133.9</v>
      </c>
      <c r="C128" s="117"/>
      <c r="D128" s="117">
        <f>(0.922*B128- 4.405)</f>
        <v>119.05080000000001</v>
      </c>
      <c r="E128" s="115">
        <v>18.5</v>
      </c>
      <c r="F128" s="115">
        <v>5.5</v>
      </c>
      <c r="G128" s="115"/>
      <c r="H128" s="115"/>
      <c r="I128" s="115"/>
      <c r="J128" s="115"/>
      <c r="K128" s="115">
        <f t="shared" si="0"/>
        <v>0</v>
      </c>
      <c r="L128" s="115"/>
      <c r="M128" s="115"/>
      <c r="N128" s="115"/>
      <c r="O128" s="115"/>
      <c r="P128" s="115"/>
      <c r="Q128" s="115">
        <f t="shared" si="1"/>
        <v>6.4351783783783789</v>
      </c>
      <c r="R128" s="115">
        <f t="shared" si="2"/>
        <v>3.3636363636363638</v>
      </c>
    </row>
    <row r="129" spans="1:18" ht="13.5" customHeight="1" x14ac:dyDescent="0.25">
      <c r="A129" s="133" t="s">
        <v>513</v>
      </c>
      <c r="B129" s="115">
        <v>133</v>
      </c>
      <c r="C129" s="117"/>
      <c r="D129" s="117">
        <f>(0.922*B129- 4.405)</f>
        <v>118.221</v>
      </c>
      <c r="E129" s="117">
        <v>20</v>
      </c>
      <c r="F129" s="117">
        <v>4.9000000000000004</v>
      </c>
      <c r="G129" s="115"/>
      <c r="H129" s="117"/>
      <c r="I129" s="117"/>
      <c r="J129" s="115"/>
      <c r="K129" s="115">
        <f t="shared" si="0"/>
        <v>0</v>
      </c>
      <c r="L129" s="117"/>
      <c r="M129" s="117"/>
      <c r="N129" s="115"/>
      <c r="O129" s="115"/>
      <c r="P129" s="115"/>
      <c r="Q129" s="115">
        <f t="shared" si="1"/>
        <v>5.9110500000000004</v>
      </c>
      <c r="R129" s="115">
        <f t="shared" si="2"/>
        <v>4.0816326530612246</v>
      </c>
    </row>
    <row r="130" spans="1:18" ht="13.5" customHeight="1" x14ac:dyDescent="0.25">
      <c r="A130" s="133" t="s">
        <v>514</v>
      </c>
      <c r="B130" s="117">
        <v>126.2</v>
      </c>
      <c r="C130" s="117">
        <v>109.95</v>
      </c>
      <c r="D130" s="115">
        <v>109.95</v>
      </c>
      <c r="E130" s="117">
        <v>21</v>
      </c>
      <c r="F130" s="117">
        <v>5.85</v>
      </c>
      <c r="G130" s="115">
        <v>17</v>
      </c>
      <c r="H130" s="117">
        <v>20</v>
      </c>
      <c r="I130" s="117" t="s">
        <v>515</v>
      </c>
      <c r="J130" s="115">
        <f>8*1790</f>
        <v>14320</v>
      </c>
      <c r="K130" s="115">
        <f t="shared" si="0"/>
        <v>0.31301200477554358</v>
      </c>
      <c r="L130" s="117">
        <f t="shared" si="3"/>
        <v>0.26606020405921199</v>
      </c>
      <c r="M130" s="117">
        <v>26</v>
      </c>
      <c r="N130" s="115">
        <v>57</v>
      </c>
      <c r="O130" s="115">
        <f t="shared" si="4"/>
        <v>83</v>
      </c>
      <c r="P130" s="115"/>
      <c r="Q130" s="115">
        <f t="shared" si="1"/>
        <v>5.2357142857142858</v>
      </c>
      <c r="R130" s="115">
        <f t="shared" si="2"/>
        <v>3.5897435897435899</v>
      </c>
    </row>
    <row r="131" spans="1:18" ht="13.5" customHeight="1" x14ac:dyDescent="0.25">
      <c r="A131" s="133" t="s">
        <v>516</v>
      </c>
      <c r="B131" s="117">
        <v>124.4</v>
      </c>
      <c r="C131" s="117"/>
      <c r="D131" s="117">
        <f>(0.922*B131- 4.405)</f>
        <v>110.29180000000001</v>
      </c>
      <c r="E131" s="117">
        <v>19.5</v>
      </c>
      <c r="F131" s="117"/>
      <c r="G131" s="115"/>
      <c r="H131" s="117">
        <v>20</v>
      </c>
      <c r="I131" s="117"/>
      <c r="J131" s="115"/>
      <c r="K131" s="115">
        <f t="shared" si="0"/>
        <v>0.31252660820991024</v>
      </c>
      <c r="L131" s="117"/>
      <c r="M131" s="117"/>
      <c r="N131" s="115"/>
      <c r="O131" s="115"/>
      <c r="P131" s="115"/>
      <c r="Q131" s="115">
        <f t="shared" si="1"/>
        <v>5.6559897435897444</v>
      </c>
      <c r="R131" s="115" t="e">
        <f t="shared" si="2"/>
        <v>#DIV/0!</v>
      </c>
    </row>
    <row r="132" spans="1:18" ht="13.5" customHeight="1" x14ac:dyDescent="0.25">
      <c r="A132" s="131" t="s">
        <v>517</v>
      </c>
      <c r="B132" s="115">
        <v>121.1</v>
      </c>
      <c r="C132" s="115">
        <v>104.64</v>
      </c>
      <c r="D132" s="115">
        <v>104.64</v>
      </c>
      <c r="E132" s="115">
        <v>16.899999999999999</v>
      </c>
      <c r="F132" s="115">
        <v>5.55</v>
      </c>
      <c r="G132" s="115">
        <v>16.5</v>
      </c>
      <c r="H132" s="115">
        <v>18.5</v>
      </c>
      <c r="I132" s="115" t="s">
        <v>518</v>
      </c>
      <c r="J132" s="115">
        <f>2*3020</f>
        <v>6040</v>
      </c>
      <c r="K132" s="115">
        <f t="shared" si="0"/>
        <v>0.29679151330434805</v>
      </c>
      <c r="L132" s="115">
        <f t="shared" si="3"/>
        <v>0.26470594429847261</v>
      </c>
      <c r="M132" s="115"/>
      <c r="N132" s="115"/>
      <c r="O132" s="115">
        <f t="shared" si="4"/>
        <v>0</v>
      </c>
      <c r="P132" s="115"/>
      <c r="Q132" s="115">
        <f t="shared" si="1"/>
        <v>6.1917159763313618</v>
      </c>
      <c r="R132" s="115">
        <f t="shared" si="2"/>
        <v>3.045045045045045</v>
      </c>
    </row>
    <row r="133" spans="1:18" ht="13.5" customHeight="1" x14ac:dyDescent="0.25">
      <c r="A133" s="131" t="s">
        <v>519</v>
      </c>
      <c r="B133" s="115">
        <v>119</v>
      </c>
      <c r="C133" s="115">
        <v>118.38</v>
      </c>
      <c r="D133" s="115">
        <v>118.38</v>
      </c>
      <c r="E133" s="115">
        <v>18.850000000000001</v>
      </c>
      <c r="F133" s="115">
        <v>5.15</v>
      </c>
      <c r="G133" s="115">
        <v>19.5</v>
      </c>
      <c r="H133" s="115">
        <v>23</v>
      </c>
      <c r="I133" s="115" t="s">
        <v>520</v>
      </c>
      <c r="J133" s="115">
        <f>2*4500</f>
        <v>9000</v>
      </c>
      <c r="K133" s="115">
        <f t="shared" si="0"/>
        <v>0.34691037107350092</v>
      </c>
      <c r="L133" s="115">
        <f t="shared" si="3"/>
        <v>0.2941196624318812</v>
      </c>
      <c r="M133" s="115">
        <v>14</v>
      </c>
      <c r="N133" s="115">
        <v>42</v>
      </c>
      <c r="O133" s="115">
        <f t="shared" si="4"/>
        <v>56</v>
      </c>
      <c r="P133" s="115"/>
      <c r="Q133" s="115">
        <f t="shared" si="1"/>
        <v>6.2801061007957548</v>
      </c>
      <c r="R133" s="115">
        <f t="shared" si="2"/>
        <v>3.6601941747572817</v>
      </c>
    </row>
    <row r="134" spans="1:18" ht="13.5" customHeight="1" x14ac:dyDescent="0.25">
      <c r="A134" s="131" t="s">
        <v>521</v>
      </c>
      <c r="B134" s="115">
        <v>116.4</v>
      </c>
      <c r="C134" s="115"/>
      <c r="D134" s="115">
        <f>(0.922*B134- 4.405)</f>
        <v>102.9158</v>
      </c>
      <c r="E134" s="115">
        <v>17.2</v>
      </c>
      <c r="F134" s="115">
        <v>4.4000000000000004</v>
      </c>
      <c r="G134" s="115">
        <v>14</v>
      </c>
      <c r="H134" s="115">
        <v>15</v>
      </c>
      <c r="I134" s="115" t="s">
        <v>522</v>
      </c>
      <c r="J134" s="115">
        <f>2*3000</f>
        <v>6000</v>
      </c>
      <c r="K134" s="115">
        <f t="shared" si="0"/>
        <v>0.24264919072101931</v>
      </c>
      <c r="L134" s="115">
        <f t="shared" si="3"/>
        <v>0.22647257800628467</v>
      </c>
      <c r="M134" s="115">
        <v>70</v>
      </c>
      <c r="N134" s="115">
        <v>60</v>
      </c>
      <c r="O134" s="115">
        <f t="shared" si="4"/>
        <v>130</v>
      </c>
      <c r="P134" s="115"/>
      <c r="Q134" s="115">
        <f t="shared" si="1"/>
        <v>5.9834767441860466</v>
      </c>
      <c r="R134" s="115">
        <f t="shared" si="2"/>
        <v>3.9090909090909087</v>
      </c>
    </row>
    <row r="135" spans="1:18" ht="13.5" customHeight="1" x14ac:dyDescent="0.25">
      <c r="A135" s="131" t="s">
        <v>523</v>
      </c>
      <c r="B135" s="115">
        <v>115.8</v>
      </c>
      <c r="C135" s="115">
        <v>104.4</v>
      </c>
      <c r="D135" s="115">
        <v>104.4</v>
      </c>
      <c r="E135" s="115">
        <v>14.4</v>
      </c>
      <c r="F135" s="115">
        <v>4.3</v>
      </c>
      <c r="G135" s="115"/>
      <c r="H135" s="115"/>
      <c r="I135" s="115" t="s">
        <v>524</v>
      </c>
      <c r="J135" s="115">
        <f>2*3580</f>
        <v>7160</v>
      </c>
      <c r="K135" s="115">
        <f t="shared" si="0"/>
        <v>0</v>
      </c>
      <c r="L135" s="115"/>
      <c r="M135" s="115"/>
      <c r="N135" s="115"/>
      <c r="O135" s="115">
        <f t="shared" si="4"/>
        <v>0</v>
      </c>
      <c r="P135" s="115"/>
      <c r="Q135" s="115">
        <f t="shared" si="1"/>
        <v>7.25</v>
      </c>
      <c r="R135" s="115">
        <f t="shared" si="2"/>
        <v>3.3488372093023258</v>
      </c>
    </row>
    <row r="136" spans="1:18" ht="13.5" customHeight="1" x14ac:dyDescent="0.25">
      <c r="A136" s="131" t="s">
        <v>525</v>
      </c>
      <c r="B136" s="115">
        <v>115.8</v>
      </c>
      <c r="C136" s="115"/>
      <c r="D136" s="115">
        <f>B136</f>
        <v>115.8</v>
      </c>
      <c r="E136" s="115">
        <v>14.4</v>
      </c>
      <c r="F136" s="115">
        <v>4.3</v>
      </c>
      <c r="G136" s="115"/>
      <c r="H136" s="115"/>
      <c r="I136" s="115" t="s">
        <v>524</v>
      </c>
      <c r="J136" s="115">
        <f>2*3580</f>
        <v>7160</v>
      </c>
      <c r="K136" s="115">
        <f t="shared" si="0"/>
        <v>0</v>
      </c>
      <c r="L136" s="115"/>
      <c r="M136" s="115"/>
      <c r="N136" s="115"/>
      <c r="O136" s="115">
        <f t="shared" si="4"/>
        <v>0</v>
      </c>
      <c r="P136" s="115"/>
      <c r="Q136" s="115">
        <f t="shared" si="1"/>
        <v>8.0416666666666661</v>
      </c>
      <c r="R136" s="115">
        <f t="shared" si="2"/>
        <v>3.3488372093023258</v>
      </c>
    </row>
    <row r="137" spans="1:18" ht="13.5" customHeight="1" x14ac:dyDescent="0.25">
      <c r="A137" s="131" t="s">
        <v>526</v>
      </c>
      <c r="B137" s="115">
        <v>115</v>
      </c>
      <c r="C137" s="115">
        <v>99.9</v>
      </c>
      <c r="D137" s="115">
        <v>99.9</v>
      </c>
      <c r="E137" s="115">
        <v>17.2</v>
      </c>
      <c r="F137" s="115">
        <v>4.6500000000000004</v>
      </c>
      <c r="G137" s="115">
        <v>18</v>
      </c>
      <c r="H137" s="115">
        <v>20</v>
      </c>
      <c r="I137" s="115" t="s">
        <v>527</v>
      </c>
      <c r="J137" s="115">
        <f>2*3952</f>
        <v>7904</v>
      </c>
      <c r="K137" s="115">
        <f t="shared" si="0"/>
        <v>0.32837937115598381</v>
      </c>
      <c r="L137" s="115">
        <f t="shared" si="3"/>
        <v>0.29554143404038546</v>
      </c>
      <c r="M137" s="115">
        <v>24</v>
      </c>
      <c r="N137" s="115">
        <v>41</v>
      </c>
      <c r="O137" s="115">
        <f t="shared" si="4"/>
        <v>65</v>
      </c>
      <c r="P137" s="115"/>
      <c r="Q137" s="115">
        <f t="shared" si="1"/>
        <v>5.8081395348837219</v>
      </c>
      <c r="R137" s="115">
        <f t="shared" si="2"/>
        <v>3.6989247311827951</v>
      </c>
    </row>
    <row r="138" spans="1:18" ht="13.5" customHeight="1" x14ac:dyDescent="0.25">
      <c r="A138" s="131" t="s">
        <v>528</v>
      </c>
      <c r="B138" s="115">
        <v>115</v>
      </c>
      <c r="C138" s="115"/>
      <c r="D138" s="115">
        <f>(0.922*B138- 4.405)</f>
        <v>101.625</v>
      </c>
      <c r="E138" s="115">
        <v>18</v>
      </c>
      <c r="F138" s="115"/>
      <c r="G138" s="115"/>
      <c r="H138" s="115"/>
      <c r="I138" s="115"/>
      <c r="J138" s="115"/>
      <c r="K138" s="115">
        <f t="shared" si="0"/>
        <v>0</v>
      </c>
      <c r="L138" s="115"/>
      <c r="M138" s="115"/>
      <c r="N138" s="115"/>
      <c r="O138" s="115"/>
      <c r="P138" s="115"/>
      <c r="Q138" s="115">
        <f t="shared" si="1"/>
        <v>5.645833333333333</v>
      </c>
      <c r="R138" s="115" t="e">
        <f t="shared" si="2"/>
        <v>#DIV/0!</v>
      </c>
    </row>
    <row r="139" spans="1:18" ht="13.5" customHeight="1" x14ac:dyDescent="0.25">
      <c r="A139" s="131" t="s">
        <v>529</v>
      </c>
      <c r="B139" s="115">
        <v>112.8</v>
      </c>
      <c r="C139" s="115"/>
      <c r="D139" s="115">
        <f>(0.922*B139- 4.405)</f>
        <v>99.596599999999995</v>
      </c>
      <c r="E139" s="115">
        <v>17.7</v>
      </c>
      <c r="F139" s="115">
        <v>4.5999999999999996</v>
      </c>
      <c r="G139" s="115">
        <v>15</v>
      </c>
      <c r="H139" s="115">
        <v>17</v>
      </c>
      <c r="I139" s="115" t="s">
        <v>530</v>
      </c>
      <c r="J139" s="115">
        <f>2*3408</f>
        <v>6816</v>
      </c>
      <c r="K139" s="115">
        <f t="shared" si="0"/>
        <v>0.27954728600737783</v>
      </c>
      <c r="L139" s="115">
        <f t="shared" si="3"/>
        <v>0.24665937000650986</v>
      </c>
      <c r="M139" s="115">
        <v>20</v>
      </c>
      <c r="N139" s="115">
        <v>35</v>
      </c>
      <c r="O139" s="115">
        <f t="shared" si="4"/>
        <v>55</v>
      </c>
      <c r="P139" s="115"/>
      <c r="Q139" s="115">
        <f t="shared" si="1"/>
        <v>5.6269265536723161</v>
      </c>
      <c r="R139" s="115">
        <f t="shared" si="2"/>
        <v>3.847826086956522</v>
      </c>
    </row>
    <row r="140" spans="1:18" ht="13.5" customHeight="1" x14ac:dyDescent="0.25">
      <c r="A140" s="131" t="s">
        <v>531</v>
      </c>
      <c r="B140" s="115">
        <v>110</v>
      </c>
      <c r="C140" s="115">
        <v>97.6</v>
      </c>
      <c r="D140" s="115">
        <v>97.6</v>
      </c>
      <c r="E140" s="115">
        <v>16.3</v>
      </c>
      <c r="F140" s="115">
        <v>4.4000000000000004</v>
      </c>
      <c r="G140" s="115">
        <v>16</v>
      </c>
      <c r="H140" s="115">
        <v>21</v>
      </c>
      <c r="I140" s="115"/>
      <c r="J140" s="115"/>
      <c r="K140" s="115">
        <f t="shared" si="0"/>
        <v>0.34883736812433064</v>
      </c>
      <c r="L140" s="115">
        <f t="shared" si="3"/>
        <v>0.26578085190425188</v>
      </c>
      <c r="M140" s="115">
        <v>20</v>
      </c>
      <c r="N140" s="115"/>
      <c r="O140" s="115"/>
      <c r="P140" s="115"/>
      <c r="Q140" s="115">
        <f t="shared" si="1"/>
        <v>5.9877300613496924</v>
      </c>
      <c r="R140" s="115">
        <f t="shared" si="2"/>
        <v>3.7045454545454546</v>
      </c>
    </row>
    <row r="141" spans="1:18" ht="13.5" customHeight="1" x14ac:dyDescent="0.25">
      <c r="A141" s="131" t="s">
        <v>532</v>
      </c>
      <c r="B141" s="115">
        <v>110</v>
      </c>
      <c r="C141" s="115"/>
      <c r="D141" s="115">
        <f>(0.922*B141- 4.405)</f>
        <v>97.015000000000001</v>
      </c>
      <c r="E141" s="115">
        <v>16.3</v>
      </c>
      <c r="F141" s="115">
        <v>3.2</v>
      </c>
      <c r="G141" s="115">
        <v>18.2</v>
      </c>
      <c r="H141" s="115">
        <v>21</v>
      </c>
      <c r="I141" s="115"/>
      <c r="J141" s="115"/>
      <c r="K141" s="115">
        <f t="shared" si="0"/>
        <v>0.34988753123989547</v>
      </c>
      <c r="L141" s="115">
        <f t="shared" si="3"/>
        <v>0.30323586040790934</v>
      </c>
      <c r="M141" s="115">
        <v>16</v>
      </c>
      <c r="N141" s="115">
        <v>20</v>
      </c>
      <c r="O141" s="115">
        <f t="shared" si="4"/>
        <v>36</v>
      </c>
      <c r="P141" s="115"/>
      <c r="Q141" s="115">
        <f t="shared" si="1"/>
        <v>5.9518404907975455</v>
      </c>
      <c r="R141" s="115">
        <f t="shared" si="2"/>
        <v>5.09375</v>
      </c>
    </row>
    <row r="142" spans="1:18" ht="13.5" customHeight="1" x14ac:dyDescent="0.25">
      <c r="A142" s="131" t="s">
        <v>533</v>
      </c>
      <c r="B142" s="115">
        <v>109.5</v>
      </c>
      <c r="C142" s="115"/>
      <c r="D142" s="115">
        <f>(0.922*B142- 4.405)</f>
        <v>96.554000000000002</v>
      </c>
      <c r="E142" s="115">
        <v>14.95</v>
      </c>
      <c r="F142" s="115">
        <v>5.15</v>
      </c>
      <c r="G142" s="115">
        <v>8</v>
      </c>
      <c r="H142" s="115">
        <v>10</v>
      </c>
      <c r="I142" s="115"/>
      <c r="J142" s="115"/>
      <c r="K142" s="115">
        <f t="shared" si="0"/>
        <v>0.16701038614982108</v>
      </c>
      <c r="L142" s="115">
        <f t="shared" si="3"/>
        <v>0.13360830891985684</v>
      </c>
      <c r="M142" s="115"/>
      <c r="N142" s="115"/>
      <c r="O142" s="115">
        <f t="shared" si="4"/>
        <v>0</v>
      </c>
      <c r="P142" s="115" t="s">
        <v>534</v>
      </c>
      <c r="Q142" s="115">
        <f t="shared" si="1"/>
        <v>6.4584615384615391</v>
      </c>
      <c r="R142" s="115">
        <f t="shared" si="2"/>
        <v>2.9029126213592229</v>
      </c>
    </row>
    <row r="143" spans="1:18" ht="13.5" customHeight="1" x14ac:dyDescent="0.25">
      <c r="A143" s="133" t="s">
        <v>535</v>
      </c>
      <c r="B143" s="115">
        <v>105</v>
      </c>
      <c r="C143" s="117"/>
      <c r="D143" s="117">
        <f>(0.922*B143- 4.405)</f>
        <v>92.405000000000001</v>
      </c>
      <c r="E143" s="117">
        <v>14.33</v>
      </c>
      <c r="F143" s="117"/>
      <c r="G143" s="115">
        <v>14</v>
      </c>
      <c r="H143" s="117">
        <v>15</v>
      </c>
      <c r="I143" s="117"/>
      <c r="J143" s="115"/>
      <c r="K143" s="115">
        <f t="shared" si="0"/>
        <v>0.25607792300455967</v>
      </c>
      <c r="L143" s="117">
        <f t="shared" si="3"/>
        <v>0.23900606147092238</v>
      </c>
      <c r="M143" s="117"/>
      <c r="N143" s="115"/>
      <c r="O143" s="115"/>
      <c r="P143" s="115"/>
      <c r="Q143" s="115">
        <f t="shared" si="1"/>
        <v>6.4483600837404049</v>
      </c>
      <c r="R143" s="115" t="e">
        <f t="shared" si="2"/>
        <v>#DIV/0!</v>
      </c>
    </row>
    <row r="144" spans="1:18" ht="13.5" customHeight="1" x14ac:dyDescent="0.25">
      <c r="A144" s="131" t="s">
        <v>536</v>
      </c>
      <c r="B144" s="115">
        <v>105</v>
      </c>
      <c r="C144" s="115">
        <v>89.6</v>
      </c>
      <c r="D144" s="115">
        <v>89.6</v>
      </c>
      <c r="E144" s="115">
        <v>18.5</v>
      </c>
      <c r="F144" s="115">
        <v>5.5</v>
      </c>
      <c r="G144" s="115"/>
      <c r="H144" s="115">
        <v>22</v>
      </c>
      <c r="I144" s="115" t="s">
        <v>537</v>
      </c>
      <c r="J144" s="115">
        <f>2*5120</f>
        <v>10240</v>
      </c>
      <c r="K144" s="115">
        <f t="shared" si="0"/>
        <v>0.3814145807689886</v>
      </c>
      <c r="L144" s="115"/>
      <c r="M144" s="115"/>
      <c r="N144" s="115">
        <v>60</v>
      </c>
      <c r="O144" s="115">
        <f t="shared" si="4"/>
        <v>60</v>
      </c>
      <c r="P144" s="115"/>
      <c r="Q144" s="115">
        <f t="shared" si="1"/>
        <v>4.8432432432432426</v>
      </c>
      <c r="R144" s="115">
        <f t="shared" si="2"/>
        <v>3.3636363636363638</v>
      </c>
    </row>
    <row r="145" spans="1:18" ht="13.5" customHeight="1" x14ac:dyDescent="0.25">
      <c r="A145" s="131" t="s">
        <v>538</v>
      </c>
      <c r="B145" s="116">
        <v>104</v>
      </c>
      <c r="C145" s="116"/>
      <c r="D145" s="116">
        <f>(0.922*B145- 4.405)</f>
        <v>91.483000000000004</v>
      </c>
      <c r="E145" s="117">
        <v>16.2</v>
      </c>
      <c r="F145" s="117">
        <v>5</v>
      </c>
      <c r="G145" s="115"/>
      <c r="H145" s="117">
        <v>18</v>
      </c>
      <c r="I145" s="115" t="s">
        <v>539</v>
      </c>
      <c r="J145" s="115">
        <f>2*3132</f>
        <v>6264</v>
      </c>
      <c r="K145" s="115">
        <f t="shared" si="0"/>
        <v>0.30883813516391884</v>
      </c>
      <c r="L145" s="115"/>
      <c r="M145" s="115"/>
      <c r="N145" s="115">
        <v>156</v>
      </c>
      <c r="O145" s="115">
        <f t="shared" si="4"/>
        <v>156</v>
      </c>
      <c r="P145" s="115"/>
      <c r="Q145" s="115">
        <f t="shared" si="1"/>
        <v>5.6470987654320997</v>
      </c>
      <c r="R145" s="115">
        <f t="shared" si="2"/>
        <v>3.2399999999999998</v>
      </c>
    </row>
    <row r="146" spans="1:18" ht="13.5" customHeight="1" x14ac:dyDescent="0.25">
      <c r="A146" s="131" t="s">
        <v>540</v>
      </c>
      <c r="B146" s="115">
        <v>100</v>
      </c>
      <c r="C146" s="115">
        <v>82</v>
      </c>
      <c r="D146" s="116">
        <v>82</v>
      </c>
      <c r="E146" s="115">
        <v>12.84</v>
      </c>
      <c r="F146" s="115">
        <v>4.2</v>
      </c>
      <c r="G146" s="115">
        <v>21.6</v>
      </c>
      <c r="H146" s="115">
        <v>22.6</v>
      </c>
      <c r="I146" s="115" t="s">
        <v>541</v>
      </c>
      <c r="J146" s="115">
        <f>2*4922</f>
        <v>9844</v>
      </c>
      <c r="K146" s="115">
        <f t="shared" si="0"/>
        <v>0.40957187684128948</v>
      </c>
      <c r="L146" s="115">
        <f t="shared" si="3"/>
        <v>0.39144922742353333</v>
      </c>
      <c r="M146" s="115"/>
      <c r="N146" s="115"/>
      <c r="O146" s="115"/>
      <c r="P146" s="115"/>
      <c r="Q146" s="115">
        <f t="shared" si="1"/>
        <v>6.3862928348909662</v>
      </c>
      <c r="R146" s="115">
        <f t="shared" si="2"/>
        <v>3.0571428571428569</v>
      </c>
    </row>
    <row r="147" spans="1:18" ht="13.5" customHeight="1" x14ac:dyDescent="0.25">
      <c r="A147" s="131" t="s">
        <v>542</v>
      </c>
      <c r="B147" s="115">
        <v>99.15</v>
      </c>
      <c r="C147" s="115"/>
      <c r="D147" s="117">
        <f>B147</f>
        <v>99.15</v>
      </c>
      <c r="E147" s="115">
        <v>11.1</v>
      </c>
      <c r="F147" s="117">
        <v>4.25</v>
      </c>
      <c r="G147" s="115">
        <v>19</v>
      </c>
      <c r="H147" s="115">
        <v>19.5</v>
      </c>
      <c r="I147" s="115" t="s">
        <v>543</v>
      </c>
      <c r="J147" s="115">
        <f>2*2070</f>
        <v>4140</v>
      </c>
      <c r="K147" s="115">
        <f t="shared" si="0"/>
        <v>0.32137853551958012</v>
      </c>
      <c r="L147" s="115">
        <f t="shared" si="3"/>
        <v>0.31313806024984731</v>
      </c>
      <c r="M147" s="115"/>
      <c r="N147" s="115"/>
      <c r="O147" s="115">
        <f t="shared" si="4"/>
        <v>0</v>
      </c>
      <c r="P147" s="115"/>
      <c r="Q147" s="115">
        <f t="shared" si="1"/>
        <v>8.9324324324324333</v>
      </c>
      <c r="R147" s="115">
        <f t="shared" si="2"/>
        <v>2.611764705882353</v>
      </c>
    </row>
    <row r="148" spans="1:18" ht="13.5" customHeight="1" x14ac:dyDescent="0.25">
      <c r="A148" s="131" t="s">
        <v>544</v>
      </c>
      <c r="B148" s="115">
        <v>97.2</v>
      </c>
      <c r="C148" s="115"/>
      <c r="D148" s="117">
        <f>(0.922*B148- 4.405)</f>
        <v>85.213400000000007</v>
      </c>
      <c r="E148" s="115">
        <v>16</v>
      </c>
      <c r="F148" s="115">
        <v>4.8</v>
      </c>
      <c r="G148" s="115"/>
      <c r="H148" s="115">
        <v>26</v>
      </c>
      <c r="I148" s="115" t="s">
        <v>545</v>
      </c>
      <c r="J148" s="115">
        <f>4*7400</f>
        <v>29600</v>
      </c>
      <c r="K148" s="115">
        <f t="shared" si="0"/>
        <v>0.46221923698674183</v>
      </c>
      <c r="L148" s="115"/>
      <c r="M148" s="115">
        <v>26</v>
      </c>
      <c r="N148" s="115">
        <v>22</v>
      </c>
      <c r="O148" s="115">
        <f t="shared" si="4"/>
        <v>48</v>
      </c>
      <c r="P148" s="115"/>
      <c r="Q148" s="115">
        <f t="shared" si="1"/>
        <v>5.3258375000000004</v>
      </c>
      <c r="R148" s="115">
        <f t="shared" si="2"/>
        <v>3.3333333333333335</v>
      </c>
    </row>
    <row r="149" spans="1:18" ht="13.5" customHeight="1" x14ac:dyDescent="0.35">
      <c r="A149" s="131" t="s">
        <v>546</v>
      </c>
      <c r="B149" s="115">
        <v>97.16</v>
      </c>
      <c r="C149" s="115"/>
      <c r="D149" s="115">
        <f>(0.922*B149- 4.405)</f>
        <v>85.176519999999996</v>
      </c>
      <c r="E149" s="115">
        <v>14.25</v>
      </c>
      <c r="F149" s="115">
        <v>4.2</v>
      </c>
      <c r="G149" s="115"/>
      <c r="H149" s="115"/>
      <c r="I149" s="115"/>
      <c r="J149" s="115"/>
      <c r="K149" s="115">
        <f t="shared" si="0"/>
        <v>0</v>
      </c>
      <c r="L149" s="120"/>
      <c r="M149" s="115"/>
      <c r="N149" s="115"/>
      <c r="O149" s="115"/>
      <c r="P149" s="115"/>
      <c r="Q149" s="115">
        <f t="shared" si="1"/>
        <v>5.9772996491228065</v>
      </c>
      <c r="R149" s="115">
        <f t="shared" si="2"/>
        <v>3.3928571428571428</v>
      </c>
    </row>
    <row r="150" spans="1:18" ht="13.5" customHeight="1" x14ac:dyDescent="0.25">
      <c r="A150" s="131" t="s">
        <v>547</v>
      </c>
      <c r="B150" s="115">
        <v>96.6</v>
      </c>
      <c r="C150" s="115"/>
      <c r="D150" s="115">
        <f>(0.922*B150- 4.405)</f>
        <v>84.660200000000003</v>
      </c>
      <c r="E150" s="115"/>
      <c r="F150" s="115"/>
      <c r="G150" s="115"/>
      <c r="H150" s="115"/>
      <c r="I150" s="115"/>
      <c r="J150" s="115"/>
      <c r="K150" s="115">
        <f t="shared" si="0"/>
        <v>0</v>
      </c>
      <c r="L150" s="115"/>
      <c r="M150" s="115"/>
      <c r="N150" s="115"/>
      <c r="O150" s="115"/>
      <c r="P150" s="115"/>
      <c r="Q150" s="115"/>
      <c r="R150" s="115" t="e">
        <f t="shared" si="2"/>
        <v>#DIV/0!</v>
      </c>
    </row>
    <row r="151" spans="1:18" ht="13.5" customHeight="1" x14ac:dyDescent="0.25">
      <c r="A151" s="131" t="s">
        <v>548</v>
      </c>
      <c r="B151" s="115">
        <v>96.25</v>
      </c>
      <c r="C151" s="115">
        <v>86.5</v>
      </c>
      <c r="D151" s="115">
        <v>86.5</v>
      </c>
      <c r="E151" s="115">
        <v>12.4</v>
      </c>
      <c r="F151" s="115">
        <v>4.4000000000000004</v>
      </c>
      <c r="G151" s="115">
        <v>17</v>
      </c>
      <c r="H151" s="115">
        <v>25</v>
      </c>
      <c r="I151" s="115" t="s">
        <v>549</v>
      </c>
      <c r="J151" s="115">
        <f>2*5420</f>
        <v>10840</v>
      </c>
      <c r="K151" s="115">
        <f t="shared" si="0"/>
        <v>0.4411238815600263</v>
      </c>
      <c r="L151" s="115">
        <f t="shared" si="3"/>
        <v>0.29996423946081785</v>
      </c>
      <c r="M151" s="115">
        <v>12</v>
      </c>
      <c r="N151" s="115">
        <v>20</v>
      </c>
      <c r="O151" s="115">
        <f t="shared" si="4"/>
        <v>32</v>
      </c>
      <c r="P151" s="115"/>
      <c r="Q151" s="115">
        <f t="shared" si="1"/>
        <v>6.975806451612903</v>
      </c>
      <c r="R151" s="115">
        <f t="shared" si="2"/>
        <v>2.8181818181818179</v>
      </c>
    </row>
    <row r="152" spans="1:18" ht="13.5" customHeight="1" x14ac:dyDescent="0.25">
      <c r="A152" s="131" t="s">
        <v>550</v>
      </c>
      <c r="B152" s="115">
        <v>96</v>
      </c>
      <c r="C152" s="117">
        <v>83.98</v>
      </c>
      <c r="D152" s="117">
        <v>83.98</v>
      </c>
      <c r="E152" s="117">
        <v>16.22</v>
      </c>
      <c r="F152" s="117">
        <v>4.4000000000000004</v>
      </c>
      <c r="G152" s="115">
        <v>16</v>
      </c>
      <c r="H152" s="115">
        <v>19.3</v>
      </c>
      <c r="I152" s="117"/>
      <c r="J152" s="115"/>
      <c r="K152" s="115">
        <f t="shared" si="0"/>
        <v>0.34561930230573223</v>
      </c>
      <c r="L152" s="117">
        <f t="shared" si="3"/>
        <v>0.28652377393221323</v>
      </c>
      <c r="M152" s="117">
        <v>24</v>
      </c>
      <c r="N152" s="115">
        <v>33</v>
      </c>
      <c r="O152" s="115">
        <f t="shared" si="4"/>
        <v>57</v>
      </c>
      <c r="P152" s="115"/>
      <c r="Q152" s="115">
        <f t="shared" si="1"/>
        <v>5.1775585696670783</v>
      </c>
      <c r="R152" s="115">
        <f t="shared" si="2"/>
        <v>3.6863636363636356</v>
      </c>
    </row>
    <row r="153" spans="1:18" ht="13.5" customHeight="1" x14ac:dyDescent="0.25">
      <c r="A153" s="131" t="s">
        <v>551</v>
      </c>
      <c r="B153" s="115">
        <v>96</v>
      </c>
      <c r="C153" s="117"/>
      <c r="D153" s="117">
        <f>(0.922*B153- 4.405)</f>
        <v>84.106999999999999</v>
      </c>
      <c r="E153" s="117"/>
      <c r="F153" s="117"/>
      <c r="G153" s="115"/>
      <c r="H153" s="115"/>
      <c r="I153" s="115"/>
      <c r="J153" s="115"/>
      <c r="K153" s="115">
        <f t="shared" si="0"/>
        <v>0</v>
      </c>
      <c r="L153" s="117"/>
      <c r="M153" s="117"/>
      <c r="N153" s="115"/>
      <c r="O153" s="115"/>
      <c r="P153" s="115"/>
      <c r="Q153" s="115"/>
      <c r="R153" s="115" t="e">
        <f t="shared" si="2"/>
        <v>#DIV/0!</v>
      </c>
    </row>
    <row r="154" spans="1:18" ht="13.5" customHeight="1" x14ac:dyDescent="0.25">
      <c r="A154" s="133" t="s">
        <v>552</v>
      </c>
      <c r="B154" s="115">
        <v>95</v>
      </c>
      <c r="C154" s="117"/>
      <c r="D154" s="117">
        <f t="shared" ref="D154:D160" si="5">(0.922*B154- 4.405)</f>
        <v>83.185000000000002</v>
      </c>
      <c r="E154" s="115">
        <v>15</v>
      </c>
      <c r="F154" s="115">
        <v>4.5</v>
      </c>
      <c r="G154" s="115">
        <v>18</v>
      </c>
      <c r="H154" s="115">
        <v>23.5</v>
      </c>
      <c r="I154" s="115" t="s">
        <v>553</v>
      </c>
      <c r="J154" s="115">
        <f>3*7457</f>
        <v>22371</v>
      </c>
      <c r="K154" s="115">
        <f t="shared" si="0"/>
        <v>0.42283795826293014</v>
      </c>
      <c r="L154" s="115">
        <f t="shared" si="3"/>
        <v>0.32387588292479758</v>
      </c>
      <c r="M154" s="115">
        <v>32</v>
      </c>
      <c r="N154" s="115">
        <v>42</v>
      </c>
      <c r="O154" s="115">
        <f t="shared" si="4"/>
        <v>74</v>
      </c>
      <c r="P154" s="115"/>
      <c r="Q154" s="115">
        <f t="shared" si="1"/>
        <v>5.5456666666666665</v>
      </c>
      <c r="R154" s="115">
        <f t="shared" si="2"/>
        <v>3.3333333333333335</v>
      </c>
    </row>
    <row r="155" spans="1:18" ht="13.5" customHeight="1" x14ac:dyDescent="0.25">
      <c r="A155" s="133" t="s">
        <v>554</v>
      </c>
      <c r="B155" s="115">
        <v>92.9</v>
      </c>
      <c r="C155" s="117"/>
      <c r="D155" s="117">
        <f t="shared" si="5"/>
        <v>81.248800000000003</v>
      </c>
      <c r="E155" s="117">
        <v>13.5</v>
      </c>
      <c r="F155" s="117"/>
      <c r="G155" s="115"/>
      <c r="H155" s="117">
        <v>16</v>
      </c>
      <c r="I155" s="117" t="s">
        <v>555</v>
      </c>
      <c r="J155" s="115">
        <f>2*1740</f>
        <v>3480</v>
      </c>
      <c r="K155" s="115">
        <f t="shared" si="0"/>
        <v>0.29129975560112581</v>
      </c>
      <c r="L155" s="117"/>
      <c r="M155" s="117"/>
      <c r="N155" s="115"/>
      <c r="O155" s="115"/>
      <c r="P155" s="115"/>
      <c r="Q155" s="115">
        <f t="shared" si="1"/>
        <v>6.0184296296296296</v>
      </c>
      <c r="R155" s="115" t="e">
        <f t="shared" si="2"/>
        <v>#DIV/0!</v>
      </c>
    </row>
    <row r="156" spans="1:18" ht="13.5" customHeight="1" x14ac:dyDescent="0.25">
      <c r="A156" s="133" t="s">
        <v>556</v>
      </c>
      <c r="B156" s="117">
        <v>92.4</v>
      </c>
      <c r="C156" s="117"/>
      <c r="D156" s="115">
        <f t="shared" si="5"/>
        <v>80.787800000000004</v>
      </c>
      <c r="E156" s="117">
        <v>14.95</v>
      </c>
      <c r="F156" s="117">
        <v>4.3</v>
      </c>
      <c r="G156" s="115"/>
      <c r="H156" s="117">
        <v>19</v>
      </c>
      <c r="I156" s="117" t="s">
        <v>557</v>
      </c>
      <c r="J156" s="115">
        <f>2*3244</f>
        <v>6488</v>
      </c>
      <c r="K156" s="115">
        <f t="shared" si="0"/>
        <v>0.34690401429567475</v>
      </c>
      <c r="L156" s="117"/>
      <c r="M156" s="117">
        <v>20</v>
      </c>
      <c r="N156" s="115">
        <v>35</v>
      </c>
      <c r="O156" s="115">
        <f t="shared" si="4"/>
        <v>55</v>
      </c>
      <c r="P156" s="115"/>
      <c r="Q156" s="115">
        <f t="shared" si="1"/>
        <v>5.4038662207357868</v>
      </c>
      <c r="R156" s="115">
        <f t="shared" si="2"/>
        <v>3.4767441860465116</v>
      </c>
    </row>
    <row r="157" spans="1:18" ht="13.5" customHeight="1" x14ac:dyDescent="0.25">
      <c r="A157" s="133" t="s">
        <v>540</v>
      </c>
      <c r="B157" s="117">
        <v>92.15</v>
      </c>
      <c r="C157" s="117"/>
      <c r="D157" s="117">
        <f t="shared" si="5"/>
        <v>80.557300000000012</v>
      </c>
      <c r="E157" s="117">
        <v>12.8</v>
      </c>
      <c r="F157" s="117">
        <v>4.2</v>
      </c>
      <c r="G157" s="115">
        <v>21</v>
      </c>
      <c r="H157" s="117">
        <v>23</v>
      </c>
      <c r="I157" s="117" t="s">
        <v>558</v>
      </c>
      <c r="J157" s="115">
        <f>2*4920</f>
        <v>9840</v>
      </c>
      <c r="K157" s="115">
        <f t="shared" si="0"/>
        <v>0.42053679492009244</v>
      </c>
      <c r="L157" s="117">
        <f t="shared" si="3"/>
        <v>0.38396837797051919</v>
      </c>
      <c r="M157" s="117">
        <v>28</v>
      </c>
      <c r="N157" s="115">
        <v>21</v>
      </c>
      <c r="O157" s="115">
        <f t="shared" si="4"/>
        <v>49</v>
      </c>
      <c r="P157" s="115"/>
      <c r="Q157" s="115">
        <f t="shared" si="1"/>
        <v>6.2935390625000007</v>
      </c>
      <c r="R157" s="115">
        <f t="shared" si="2"/>
        <v>3.0476190476190474</v>
      </c>
    </row>
    <row r="158" spans="1:18" ht="13.5" customHeight="1" x14ac:dyDescent="0.25">
      <c r="A158" s="131" t="s">
        <v>559</v>
      </c>
      <c r="B158" s="115">
        <v>92</v>
      </c>
      <c r="C158" s="115"/>
      <c r="D158" s="115">
        <f t="shared" si="5"/>
        <v>80.418999999999997</v>
      </c>
      <c r="E158" s="115">
        <v>15.9</v>
      </c>
      <c r="F158" s="115">
        <v>4.25</v>
      </c>
      <c r="G158" s="115"/>
      <c r="H158" s="115"/>
      <c r="I158" s="115"/>
      <c r="J158" s="115"/>
      <c r="K158" s="115">
        <f t="shared" si="0"/>
        <v>0</v>
      </c>
      <c r="L158" s="115"/>
      <c r="M158" s="115"/>
      <c r="N158" s="115"/>
      <c r="O158" s="115"/>
      <c r="P158" s="115"/>
      <c r="Q158" s="115">
        <f t="shared" si="1"/>
        <v>5.0577987421383641</v>
      </c>
      <c r="R158" s="115">
        <f t="shared" si="2"/>
        <v>3.7411764705882353</v>
      </c>
    </row>
    <row r="159" spans="1:18" ht="13.5" customHeight="1" x14ac:dyDescent="0.25">
      <c r="A159" s="131" t="s">
        <v>560</v>
      </c>
      <c r="B159" s="115">
        <v>90.2</v>
      </c>
      <c r="C159" s="115"/>
      <c r="D159" s="115">
        <f t="shared" si="5"/>
        <v>78.759399999999999</v>
      </c>
      <c r="E159" s="115">
        <v>12</v>
      </c>
      <c r="F159" s="115">
        <v>4.5</v>
      </c>
      <c r="G159" s="115"/>
      <c r="H159" s="115">
        <v>18</v>
      </c>
      <c r="I159" s="115"/>
      <c r="J159" s="115"/>
      <c r="K159" s="115">
        <f t="shared" si="0"/>
        <v>0.33285104205018323</v>
      </c>
      <c r="L159" s="115"/>
      <c r="M159" s="115"/>
      <c r="N159" s="115"/>
      <c r="O159" s="115"/>
      <c r="P159" s="115"/>
      <c r="Q159" s="115">
        <f t="shared" si="1"/>
        <v>6.5632833333333336</v>
      </c>
      <c r="R159" s="115">
        <f t="shared" si="2"/>
        <v>2.6666666666666665</v>
      </c>
    </row>
    <row r="160" spans="1:18" ht="13.5" customHeight="1" x14ac:dyDescent="0.25">
      <c r="A160" s="131" t="s">
        <v>561</v>
      </c>
      <c r="B160" s="115">
        <v>90.6</v>
      </c>
      <c r="C160" s="115"/>
      <c r="D160" s="115">
        <f t="shared" si="5"/>
        <v>79.128199999999993</v>
      </c>
      <c r="E160" s="115"/>
      <c r="F160" s="115"/>
      <c r="G160" s="115"/>
      <c r="H160" s="115"/>
      <c r="I160" s="115"/>
      <c r="J160" s="115"/>
      <c r="K160" s="115">
        <f t="shared" si="0"/>
        <v>0</v>
      </c>
      <c r="L160" s="115"/>
      <c r="M160" s="115">
        <v>44</v>
      </c>
      <c r="N160" s="115">
        <v>71</v>
      </c>
      <c r="O160" s="115">
        <f t="shared" si="4"/>
        <v>115</v>
      </c>
      <c r="P160" s="115"/>
      <c r="Q160" s="115"/>
      <c r="R160" s="115" t="e">
        <f t="shared" si="2"/>
        <v>#DIV/0!</v>
      </c>
    </row>
    <row r="161" spans="1:18" ht="13.5" customHeight="1" x14ac:dyDescent="0.25">
      <c r="A161" s="131" t="s">
        <v>562</v>
      </c>
      <c r="B161" s="115">
        <v>90.1</v>
      </c>
      <c r="C161" s="115">
        <v>82.15</v>
      </c>
      <c r="D161" s="115">
        <v>82.15</v>
      </c>
      <c r="E161" s="115">
        <v>15</v>
      </c>
      <c r="F161" s="115">
        <v>4.8499999999999996</v>
      </c>
      <c r="G161" s="115">
        <v>16</v>
      </c>
      <c r="H161" s="115">
        <v>18.5</v>
      </c>
      <c r="I161" s="115" t="s">
        <v>563</v>
      </c>
      <c r="J161" s="115">
        <f>2*2500</f>
        <v>5000</v>
      </c>
      <c r="K161" s="115">
        <f t="shared" si="0"/>
        <v>0.33496278580633698</v>
      </c>
      <c r="L161" s="115">
        <f t="shared" si="3"/>
        <v>0.28969754448115631</v>
      </c>
      <c r="M161" s="115">
        <v>14</v>
      </c>
      <c r="N161" s="115">
        <v>27</v>
      </c>
      <c r="O161" s="115">
        <f t="shared" si="4"/>
        <v>41</v>
      </c>
      <c r="P161" s="115"/>
      <c r="Q161" s="115">
        <f t="shared" si="1"/>
        <v>5.4766666666666675</v>
      </c>
      <c r="R161" s="115">
        <f t="shared" si="2"/>
        <v>3.0927835051546393</v>
      </c>
    </row>
    <row r="162" spans="1:18" ht="13.5" customHeight="1" x14ac:dyDescent="0.25">
      <c r="A162" s="131" t="s">
        <v>564</v>
      </c>
      <c r="B162" s="115">
        <v>90.1</v>
      </c>
      <c r="C162" s="115">
        <v>64.92</v>
      </c>
      <c r="D162" s="115">
        <v>64.92</v>
      </c>
      <c r="E162" s="115">
        <v>12</v>
      </c>
      <c r="F162" s="115">
        <v>4.9000000000000004</v>
      </c>
      <c r="G162" s="115">
        <v>13.5</v>
      </c>
      <c r="H162" s="115">
        <v>17</v>
      </c>
      <c r="I162" s="115" t="s">
        <v>555</v>
      </c>
      <c r="J162" s="115">
        <f>2*1740</f>
        <v>3480</v>
      </c>
      <c r="K162" s="115">
        <f t="shared" si="0"/>
        <v>0.34624880332675101</v>
      </c>
      <c r="L162" s="115">
        <f t="shared" si="3"/>
        <v>0.27496228499477288</v>
      </c>
      <c r="M162" s="115"/>
      <c r="N162" s="115"/>
      <c r="O162" s="115">
        <f t="shared" si="4"/>
        <v>0</v>
      </c>
      <c r="P162" s="115"/>
      <c r="Q162" s="115">
        <f t="shared" si="1"/>
        <v>5.41</v>
      </c>
      <c r="R162" s="115">
        <f t="shared" si="2"/>
        <v>2.4489795918367343</v>
      </c>
    </row>
    <row r="163" spans="1:18" ht="13.5" customHeight="1" x14ac:dyDescent="0.25">
      <c r="A163" s="131" t="s">
        <v>565</v>
      </c>
      <c r="B163" s="115">
        <v>90</v>
      </c>
      <c r="C163" s="115"/>
      <c r="D163" s="115">
        <f>(0.922*B163- 4.405)</f>
        <v>78.575000000000003</v>
      </c>
      <c r="E163" s="115">
        <v>12.2</v>
      </c>
      <c r="F163" s="115">
        <v>5.5</v>
      </c>
      <c r="G163" s="115"/>
      <c r="H163" s="115"/>
      <c r="I163" s="115" t="s">
        <v>566</v>
      </c>
      <c r="J163" s="115">
        <f>2*1492</f>
        <v>2984</v>
      </c>
      <c r="K163" s="115">
        <f t="shared" si="0"/>
        <v>0</v>
      </c>
      <c r="L163" s="115"/>
      <c r="M163" s="115"/>
      <c r="N163" s="115"/>
      <c r="O163" s="115"/>
      <c r="P163" s="115"/>
      <c r="Q163" s="115">
        <f t="shared" si="1"/>
        <v>6.4405737704918042</v>
      </c>
      <c r="R163" s="115">
        <f t="shared" si="2"/>
        <v>2.2181818181818183</v>
      </c>
    </row>
    <row r="164" spans="1:18" ht="13.5" customHeight="1" x14ac:dyDescent="0.25">
      <c r="A164" s="131" t="s">
        <v>567</v>
      </c>
      <c r="B164" s="115">
        <v>90</v>
      </c>
      <c r="C164" s="115">
        <v>80.73</v>
      </c>
      <c r="D164" s="115">
        <v>80.73</v>
      </c>
      <c r="E164" s="115">
        <v>14.44</v>
      </c>
      <c r="F164" s="115">
        <v>3.95</v>
      </c>
      <c r="G164" s="115">
        <v>12</v>
      </c>
      <c r="H164" s="115">
        <v>15</v>
      </c>
      <c r="I164" s="115" t="s">
        <v>568</v>
      </c>
      <c r="J164" s="115">
        <f>1*1864</f>
        <v>1864</v>
      </c>
      <c r="K164" s="115">
        <f t="shared" si="0"/>
        <v>0.27396961417453036</v>
      </c>
      <c r="L164" s="115">
        <f t="shared" si="3"/>
        <v>0.21917569133962431</v>
      </c>
      <c r="M164" s="115">
        <v>40</v>
      </c>
      <c r="N164" s="115">
        <v>32</v>
      </c>
      <c r="O164" s="115"/>
      <c r="P164" s="115"/>
      <c r="Q164" s="115">
        <f t="shared" si="1"/>
        <v>5.5907202216066487</v>
      </c>
      <c r="R164" s="115">
        <f t="shared" si="2"/>
        <v>3.6556962025316451</v>
      </c>
    </row>
  </sheetData>
  <mergeCells count="10">
    <mergeCell ref="A2:C2"/>
    <mergeCell ref="A28:C29"/>
    <mergeCell ref="V53:W54"/>
    <mergeCell ref="D73:E74"/>
    <mergeCell ref="L73:O74"/>
    <mergeCell ref="V73:W74"/>
    <mergeCell ref="C33:F34"/>
    <mergeCell ref="L33:O34"/>
    <mergeCell ref="C53:D54"/>
    <mergeCell ref="M53:N54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501DF-BA3A-489D-981F-A6C145AA4279}">
  <sheetPr codeName="Sheet3"/>
  <dimension ref="A1:AC318"/>
  <sheetViews>
    <sheetView zoomScale="25" zoomScaleNormal="25" workbookViewId="0">
      <selection activeCell="H11" sqref="H11"/>
    </sheetView>
  </sheetViews>
  <sheetFormatPr defaultRowHeight="14.4" x14ac:dyDescent="0.3"/>
  <cols>
    <col min="1" max="1" width="27" style="1" customWidth="1"/>
    <col min="2" max="2" width="40.77734375" style="1" bestFit="1" customWidth="1"/>
    <col min="4" max="4" width="9.5546875" style="1" bestFit="1" customWidth="1"/>
    <col min="5" max="7" width="9.21875" customWidth="1"/>
    <col min="12" max="12" width="13.77734375" bestFit="1" customWidth="1"/>
    <col min="16" max="19" width="9.21875" customWidth="1"/>
    <col min="20" max="20" width="9.21875" style="2"/>
    <col min="22" max="22" width="9.21875" customWidth="1"/>
    <col min="23" max="23" width="9.21875" style="2"/>
    <col min="24" max="24" width="0" hidden="1" customWidth="1"/>
    <col min="29" max="29" width="9.21875" style="3"/>
  </cols>
  <sheetData>
    <row r="1" spans="1:23" x14ac:dyDescent="0.3">
      <c r="A1" s="248" t="s">
        <v>0</v>
      </c>
      <c r="B1" s="248"/>
      <c r="D1"/>
      <c r="T1"/>
      <c r="W1"/>
    </row>
    <row r="2" spans="1:23" x14ac:dyDescent="0.3">
      <c r="A2" s="143" t="s">
        <v>1</v>
      </c>
      <c r="B2" s="144">
        <v>100</v>
      </c>
      <c r="C2" t="s">
        <v>229</v>
      </c>
      <c r="D2"/>
      <c r="T2"/>
      <c r="W2"/>
    </row>
    <row r="3" spans="1:23" x14ac:dyDescent="0.3">
      <c r="A3" s="143" t="s">
        <v>2</v>
      </c>
      <c r="B3" s="144">
        <v>20</v>
      </c>
      <c r="C3" t="s">
        <v>229</v>
      </c>
      <c r="D3"/>
      <c r="T3"/>
      <c r="W3"/>
    </row>
    <row r="4" spans="1:23" x14ac:dyDescent="0.3">
      <c r="A4" s="143" t="s">
        <v>3</v>
      </c>
      <c r="B4" s="144">
        <v>5</v>
      </c>
      <c r="C4" t="s">
        <v>229</v>
      </c>
      <c r="D4"/>
      <c r="T4"/>
      <c r="W4"/>
    </row>
    <row r="5" spans="1:23" x14ac:dyDescent="0.3">
      <c r="A5" s="143" t="s">
        <v>4</v>
      </c>
      <c r="B5" s="144">
        <v>8</v>
      </c>
      <c r="C5" t="s">
        <v>229</v>
      </c>
      <c r="D5"/>
      <c r="T5"/>
      <c r="W5"/>
    </row>
    <row r="6" spans="1:23" x14ac:dyDescent="0.3">
      <c r="A6" s="143" t="s">
        <v>5</v>
      </c>
      <c r="B6" s="144">
        <v>2000</v>
      </c>
      <c r="C6" t="s">
        <v>231</v>
      </c>
      <c r="D6"/>
      <c r="T6"/>
      <c r="W6"/>
    </row>
    <row r="7" spans="1:23" x14ac:dyDescent="0.3">
      <c r="A7" s="143" t="s">
        <v>6</v>
      </c>
      <c r="B7" s="144">
        <v>0.75</v>
      </c>
      <c r="D7"/>
      <c r="T7"/>
      <c r="W7"/>
    </row>
    <row r="8" spans="1:23" x14ac:dyDescent="0.3">
      <c r="A8" s="143" t="s">
        <v>7</v>
      </c>
      <c r="B8" s="144">
        <v>18</v>
      </c>
      <c r="C8" t="s">
        <v>232</v>
      </c>
      <c r="D8"/>
      <c r="T8"/>
      <c r="W8"/>
    </row>
    <row r="9" spans="1:23" x14ac:dyDescent="0.3">
      <c r="A9" s="143" t="s">
        <v>233</v>
      </c>
      <c r="B9" s="144">
        <v>5</v>
      </c>
      <c r="C9" t="s">
        <v>569</v>
      </c>
      <c r="D9"/>
      <c r="T9"/>
      <c r="W9"/>
    </row>
    <row r="10" spans="1:23" x14ac:dyDescent="0.3">
      <c r="A10" s="143" t="s">
        <v>9</v>
      </c>
      <c r="B10" s="49">
        <f>B2/B3</f>
        <v>5</v>
      </c>
      <c r="D10"/>
      <c r="T10"/>
      <c r="W10"/>
    </row>
    <row r="11" spans="1:23" x14ac:dyDescent="0.3">
      <c r="A11" s="143" t="s">
        <v>10</v>
      </c>
      <c r="B11" s="49">
        <f>B3/B4</f>
        <v>4</v>
      </c>
      <c r="D11"/>
      <c r="T11"/>
      <c r="W11"/>
    </row>
    <row r="12" spans="1:23" x14ac:dyDescent="0.3">
      <c r="A12" s="143" t="s">
        <v>11</v>
      </c>
      <c r="B12" s="49">
        <f>B2/B5</f>
        <v>12.5</v>
      </c>
      <c r="D12"/>
      <c r="T12"/>
      <c r="W12"/>
    </row>
    <row r="13" spans="1:23" x14ac:dyDescent="0.3">
      <c r="A13" s="143" t="s">
        <v>12</v>
      </c>
      <c r="B13" s="49">
        <f>B2/(B7*B2*B3*B4)^(1/3)</f>
        <v>5.1087295492903531</v>
      </c>
      <c r="D13"/>
      <c r="T13"/>
      <c r="W13"/>
    </row>
    <row r="14" spans="1:23" x14ac:dyDescent="0.3">
      <c r="A14" s="143" t="s">
        <v>13</v>
      </c>
      <c r="B14" s="49">
        <f>CONVERT(B8,"kn","m/sec")/SQRT(9.81*B2)</f>
        <v>0.29564904670492881</v>
      </c>
      <c r="D14"/>
      <c r="T14"/>
      <c r="W14"/>
    </row>
    <row r="15" spans="1:23" x14ac:dyDescent="0.3">
      <c r="A15"/>
      <c r="B15"/>
      <c r="D15"/>
      <c r="T15"/>
      <c r="W15"/>
    </row>
    <row r="16" spans="1:23" ht="15" thickBot="1" x14ac:dyDescent="0.35">
      <c r="A16" s="90"/>
      <c r="B16"/>
      <c r="D16"/>
      <c r="T16"/>
      <c r="W16"/>
    </row>
    <row r="17" spans="1:26" x14ac:dyDescent="0.3">
      <c r="A17" s="249" t="s">
        <v>338</v>
      </c>
      <c r="B17" s="250"/>
      <c r="C17" s="251"/>
      <c r="D17"/>
      <c r="T17"/>
      <c r="W17"/>
    </row>
    <row r="18" spans="1:26" ht="15" thickBot="1" x14ac:dyDescent="0.35">
      <c r="A18" s="252"/>
      <c r="B18" s="253"/>
      <c r="C18" s="254"/>
      <c r="D18"/>
      <c r="T18"/>
      <c r="W18"/>
    </row>
    <row r="19" spans="1:26" x14ac:dyDescent="0.3">
      <c r="A19"/>
      <c r="B19"/>
      <c r="D19"/>
      <c r="T19"/>
      <c r="W19"/>
    </row>
    <row r="20" spans="1:26" x14ac:dyDescent="0.3">
      <c r="A20"/>
      <c r="B20"/>
      <c r="D20"/>
      <c r="T20"/>
      <c r="W20"/>
    </row>
    <row r="21" spans="1:26" x14ac:dyDescent="0.3">
      <c r="A21"/>
      <c r="B21"/>
      <c r="D21"/>
      <c r="T21"/>
      <c r="W21"/>
    </row>
    <row r="22" spans="1:26" ht="15" thickBot="1" x14ac:dyDescent="0.35">
      <c r="A22"/>
      <c r="B22"/>
      <c r="D22"/>
      <c r="T22"/>
      <c r="W22"/>
    </row>
    <row r="23" spans="1:26" ht="15" customHeight="1" x14ac:dyDescent="0.3">
      <c r="A23" s="87"/>
      <c r="B23" s="239" t="s">
        <v>17</v>
      </c>
      <c r="C23" s="239"/>
      <c r="D23" s="239"/>
      <c r="E23" s="239"/>
      <c r="F23" s="240"/>
      <c r="G23" s="86"/>
      <c r="H23" s="85"/>
      <c r="J23" s="87"/>
      <c r="K23" s="86"/>
      <c r="L23" s="232" t="s">
        <v>18</v>
      </c>
      <c r="M23" s="233"/>
      <c r="N23" s="233"/>
      <c r="O23" s="234"/>
      <c r="P23" s="86"/>
      <c r="Q23" s="85"/>
      <c r="S23" s="87"/>
      <c r="T23" s="86"/>
      <c r="U23" s="232" t="s">
        <v>19</v>
      </c>
      <c r="V23" s="233"/>
      <c r="W23" s="233"/>
      <c r="X23" s="234"/>
      <c r="Y23" s="86"/>
      <c r="Z23" s="85"/>
    </row>
    <row r="24" spans="1:26" ht="15.75" customHeight="1" thickBot="1" x14ac:dyDescent="0.35">
      <c r="A24" s="84"/>
      <c r="B24" s="280"/>
      <c r="C24" s="280"/>
      <c r="D24" s="280"/>
      <c r="E24" s="280"/>
      <c r="F24" s="281"/>
      <c r="G24" s="46"/>
      <c r="H24" s="83"/>
      <c r="J24" s="84"/>
      <c r="K24" s="46"/>
      <c r="L24" s="235"/>
      <c r="M24" s="236"/>
      <c r="N24" s="236"/>
      <c r="O24" s="237"/>
      <c r="P24" s="46"/>
      <c r="Q24" s="83"/>
      <c r="S24" s="84"/>
      <c r="T24" s="46"/>
      <c r="U24" s="235"/>
      <c r="V24" s="236"/>
      <c r="W24" s="236"/>
      <c r="X24" s="237"/>
      <c r="Y24" s="46"/>
      <c r="Z24" s="83"/>
    </row>
    <row r="25" spans="1:26" x14ac:dyDescent="0.3">
      <c r="A25" s="84"/>
      <c r="B25" s="46"/>
      <c r="C25" s="46"/>
      <c r="D25" s="46"/>
      <c r="E25" s="46"/>
      <c r="F25" s="46"/>
      <c r="G25" s="46"/>
      <c r="H25" s="83"/>
      <c r="J25" s="84"/>
      <c r="K25" s="46"/>
      <c r="L25" s="46"/>
      <c r="M25" s="46"/>
      <c r="N25" s="46"/>
      <c r="O25" s="46"/>
      <c r="P25" s="46"/>
      <c r="Q25" s="83"/>
      <c r="S25" s="84"/>
      <c r="T25" s="46"/>
      <c r="U25" s="46"/>
      <c r="V25" s="46"/>
      <c r="W25" s="46"/>
      <c r="X25" s="46"/>
      <c r="Y25" s="46"/>
      <c r="Z25" s="83"/>
    </row>
    <row r="26" spans="1:26" x14ac:dyDescent="0.3">
      <c r="A26" s="84"/>
      <c r="B26" s="46"/>
      <c r="C26" s="46"/>
      <c r="D26" s="46"/>
      <c r="E26" s="46"/>
      <c r="F26" s="46"/>
      <c r="G26" s="46"/>
      <c r="H26" s="83"/>
      <c r="J26" s="84"/>
      <c r="K26" s="46"/>
      <c r="L26" s="46"/>
      <c r="M26" s="46"/>
      <c r="N26" s="46"/>
      <c r="O26" s="46"/>
      <c r="P26" s="46"/>
      <c r="Q26" s="83"/>
      <c r="S26" s="84"/>
      <c r="T26" s="46"/>
      <c r="U26" s="46"/>
      <c r="V26" s="46"/>
      <c r="W26" s="46"/>
      <c r="X26" s="46"/>
      <c r="Y26" s="46"/>
      <c r="Z26" s="83"/>
    </row>
    <row r="27" spans="1:26" x14ac:dyDescent="0.3">
      <c r="A27" s="84"/>
      <c r="B27" s="46"/>
      <c r="C27" s="46"/>
      <c r="D27" s="46"/>
      <c r="E27" s="46"/>
      <c r="F27" s="46"/>
      <c r="G27" s="46"/>
      <c r="H27" s="83"/>
      <c r="J27" s="84"/>
      <c r="K27" s="46"/>
      <c r="L27" s="46"/>
      <c r="M27" s="46"/>
      <c r="N27" s="46"/>
      <c r="O27" s="46"/>
      <c r="P27" s="46"/>
      <c r="Q27" s="83"/>
      <c r="S27" s="84"/>
      <c r="T27" s="46"/>
      <c r="U27" s="46"/>
      <c r="V27" s="46"/>
      <c r="W27" s="46"/>
      <c r="X27" s="46"/>
      <c r="Y27" s="46"/>
      <c r="Z27" s="83"/>
    </row>
    <row r="28" spans="1:26" x14ac:dyDescent="0.3">
      <c r="A28" s="84"/>
      <c r="B28" s="46"/>
      <c r="C28" s="46"/>
      <c r="D28" s="46"/>
      <c r="E28" s="46"/>
      <c r="F28" s="46"/>
      <c r="G28" s="46"/>
      <c r="H28" s="83"/>
      <c r="J28" s="84"/>
      <c r="K28" s="46"/>
      <c r="L28" s="46"/>
      <c r="M28" s="46"/>
      <c r="N28" s="46"/>
      <c r="O28" s="46"/>
      <c r="P28" s="46"/>
      <c r="Q28" s="83"/>
      <c r="S28" s="84"/>
      <c r="T28" s="46"/>
      <c r="U28" s="46"/>
      <c r="V28" s="46"/>
      <c r="W28" s="46"/>
      <c r="X28" s="46"/>
      <c r="Y28" s="46"/>
      <c r="Z28" s="83"/>
    </row>
    <row r="29" spans="1:26" x14ac:dyDescent="0.3">
      <c r="A29" s="84"/>
      <c r="B29" s="46"/>
      <c r="C29" s="46"/>
      <c r="D29" s="46"/>
      <c r="E29" s="46"/>
      <c r="F29" s="46"/>
      <c r="G29" s="46"/>
      <c r="H29" s="83"/>
      <c r="J29" s="84"/>
      <c r="K29" s="46"/>
      <c r="L29" s="46"/>
      <c r="M29" s="46"/>
      <c r="N29" s="46"/>
      <c r="O29" s="46"/>
      <c r="P29" s="46"/>
      <c r="Q29" s="83"/>
      <c r="S29" s="84"/>
      <c r="T29" s="46"/>
      <c r="U29" s="46"/>
      <c r="V29" s="46"/>
      <c r="W29" s="46"/>
      <c r="X29" s="46"/>
      <c r="Y29" s="46"/>
      <c r="Z29" s="83"/>
    </row>
    <row r="30" spans="1:26" x14ac:dyDescent="0.3">
      <c r="A30" s="84"/>
      <c r="B30" s="46"/>
      <c r="C30" s="46"/>
      <c r="D30" s="46"/>
      <c r="E30" s="46"/>
      <c r="F30" s="46"/>
      <c r="G30" s="46"/>
      <c r="H30" s="83"/>
      <c r="J30" s="84"/>
      <c r="K30" s="46"/>
      <c r="L30" s="46"/>
      <c r="M30" s="46"/>
      <c r="N30" s="46"/>
      <c r="O30" s="46"/>
      <c r="P30" s="46"/>
      <c r="Q30" s="83"/>
      <c r="S30" s="84"/>
      <c r="T30" s="46"/>
      <c r="U30" s="46"/>
      <c r="V30" s="46"/>
      <c r="W30" s="46"/>
      <c r="X30" s="46"/>
      <c r="Y30" s="46"/>
      <c r="Z30" s="83"/>
    </row>
    <row r="31" spans="1:26" x14ac:dyDescent="0.3">
      <c r="A31" s="84"/>
      <c r="B31" s="46"/>
      <c r="C31" s="46"/>
      <c r="D31" s="46"/>
      <c r="E31" s="46"/>
      <c r="F31" s="46"/>
      <c r="G31" s="46"/>
      <c r="H31" s="83"/>
      <c r="J31" s="84"/>
      <c r="K31" s="46"/>
      <c r="L31" s="46"/>
      <c r="M31" s="46"/>
      <c r="N31" s="46"/>
      <c r="O31" s="46"/>
      <c r="P31" s="46"/>
      <c r="Q31" s="83"/>
      <c r="S31" s="84"/>
      <c r="T31" s="46"/>
      <c r="U31" s="46"/>
      <c r="V31" s="46"/>
      <c r="W31" s="46"/>
      <c r="X31" s="46"/>
      <c r="Y31" s="46"/>
      <c r="Z31" s="83"/>
    </row>
    <row r="32" spans="1:26" x14ac:dyDescent="0.3">
      <c r="A32" s="84"/>
      <c r="B32" s="46"/>
      <c r="C32" s="46"/>
      <c r="D32" s="46"/>
      <c r="E32" s="46"/>
      <c r="F32" s="46"/>
      <c r="G32" s="46"/>
      <c r="H32" s="83"/>
      <c r="J32" s="84"/>
      <c r="K32" s="46"/>
      <c r="L32" s="46"/>
      <c r="M32" s="46"/>
      <c r="N32" s="46"/>
      <c r="O32" s="46"/>
      <c r="P32" s="46"/>
      <c r="Q32" s="83"/>
      <c r="S32" s="84"/>
      <c r="T32" s="46"/>
      <c r="U32" s="46"/>
      <c r="V32" s="46"/>
      <c r="W32" s="46"/>
      <c r="X32" s="46"/>
      <c r="Y32" s="46"/>
      <c r="Z32" s="83"/>
    </row>
    <row r="33" spans="1:26" x14ac:dyDescent="0.3">
      <c r="A33" s="84"/>
      <c r="B33" s="46"/>
      <c r="C33" s="46"/>
      <c r="D33" s="46"/>
      <c r="E33" s="46"/>
      <c r="F33" s="46"/>
      <c r="G33" s="46"/>
      <c r="H33" s="83"/>
      <c r="J33" s="84"/>
      <c r="K33" s="46"/>
      <c r="L33" s="46"/>
      <c r="M33" s="46"/>
      <c r="N33" s="46"/>
      <c r="O33" s="46"/>
      <c r="P33" s="46"/>
      <c r="Q33" s="83"/>
      <c r="S33" s="84"/>
      <c r="T33" s="46"/>
      <c r="U33" s="46"/>
      <c r="V33" s="46"/>
      <c r="W33" s="46"/>
      <c r="X33" s="46"/>
      <c r="Y33" s="46"/>
      <c r="Z33" s="83"/>
    </row>
    <row r="34" spans="1:26" x14ac:dyDescent="0.3">
      <c r="A34" s="84"/>
      <c r="B34" s="46"/>
      <c r="C34" s="46"/>
      <c r="D34" s="46"/>
      <c r="E34" s="46"/>
      <c r="F34" s="46"/>
      <c r="G34" s="46"/>
      <c r="H34" s="83"/>
      <c r="J34" s="84"/>
      <c r="K34" s="46"/>
      <c r="L34" s="46"/>
      <c r="M34" s="46"/>
      <c r="N34" s="46"/>
      <c r="O34" s="46"/>
      <c r="P34" s="46"/>
      <c r="Q34" s="83"/>
      <c r="S34" s="84"/>
      <c r="T34" s="46"/>
      <c r="U34" s="46"/>
      <c r="V34" s="46"/>
      <c r="W34" s="46"/>
      <c r="X34" s="46"/>
      <c r="Y34" s="46"/>
      <c r="Z34" s="83"/>
    </row>
    <row r="35" spans="1:26" x14ac:dyDescent="0.3">
      <c r="A35" s="84"/>
      <c r="B35" s="46"/>
      <c r="C35" s="46"/>
      <c r="D35" s="46"/>
      <c r="E35" s="46"/>
      <c r="F35" s="46"/>
      <c r="G35" s="46"/>
      <c r="H35" s="83"/>
      <c r="J35" s="84"/>
      <c r="K35" s="46"/>
      <c r="L35" s="46"/>
      <c r="M35" s="46"/>
      <c r="N35" s="46"/>
      <c r="O35" s="46"/>
      <c r="P35" s="46"/>
      <c r="Q35" s="83"/>
      <c r="S35" s="84"/>
      <c r="T35" s="46"/>
      <c r="U35" s="46"/>
      <c r="V35" s="46"/>
      <c r="W35" s="46"/>
      <c r="X35" s="46"/>
      <c r="Y35" s="46"/>
      <c r="Z35" s="83"/>
    </row>
    <row r="36" spans="1:26" x14ac:dyDescent="0.3">
      <c r="A36" s="84"/>
      <c r="B36" s="46"/>
      <c r="C36" s="46"/>
      <c r="D36" s="46"/>
      <c r="E36" s="46"/>
      <c r="F36" s="46"/>
      <c r="G36" s="46"/>
      <c r="H36" s="83"/>
      <c r="J36" s="84"/>
      <c r="K36" s="46"/>
      <c r="L36" s="46"/>
      <c r="M36" s="46"/>
      <c r="N36" s="46"/>
      <c r="O36" s="46"/>
      <c r="P36" s="46"/>
      <c r="Q36" s="83"/>
      <c r="S36" s="84"/>
      <c r="T36" s="46"/>
      <c r="U36" s="46"/>
      <c r="V36" s="46"/>
      <c r="W36" s="46"/>
      <c r="X36" s="46"/>
      <c r="Y36" s="46"/>
      <c r="Z36" s="83"/>
    </row>
    <row r="37" spans="1:26" x14ac:dyDescent="0.3">
      <c r="A37" s="84"/>
      <c r="B37" s="46"/>
      <c r="C37" s="46"/>
      <c r="D37" s="46"/>
      <c r="E37" s="46"/>
      <c r="F37" s="46"/>
      <c r="G37" s="46"/>
      <c r="H37" s="83"/>
      <c r="J37" s="84"/>
      <c r="K37" s="46"/>
      <c r="L37" s="46"/>
      <c r="M37" s="46"/>
      <c r="N37" s="46"/>
      <c r="O37" s="46"/>
      <c r="P37" s="46"/>
      <c r="Q37" s="83"/>
      <c r="S37" s="84"/>
      <c r="T37" s="46"/>
      <c r="U37" s="46"/>
      <c r="V37" s="46"/>
      <c r="W37" s="46"/>
      <c r="X37" s="46"/>
      <c r="Y37" s="46"/>
      <c r="Z37" s="83"/>
    </row>
    <row r="38" spans="1:26" x14ac:dyDescent="0.3">
      <c r="A38" s="84"/>
      <c r="B38" s="46"/>
      <c r="C38" s="46"/>
      <c r="D38" s="46"/>
      <c r="E38" s="46"/>
      <c r="F38" s="46"/>
      <c r="G38" s="46"/>
      <c r="H38" s="83"/>
      <c r="J38" s="84"/>
      <c r="K38" s="46"/>
      <c r="L38" s="46"/>
      <c r="M38" s="46"/>
      <c r="N38" s="46"/>
      <c r="O38" s="46"/>
      <c r="P38" s="46"/>
      <c r="Q38" s="83"/>
      <c r="S38" s="84"/>
      <c r="T38" s="46"/>
      <c r="U38" s="46"/>
      <c r="V38" s="46"/>
      <c r="W38" s="46"/>
      <c r="X38" s="46"/>
      <c r="Y38" s="46"/>
      <c r="Z38" s="83"/>
    </row>
    <row r="39" spans="1:26" x14ac:dyDescent="0.3">
      <c r="A39" s="84"/>
      <c r="B39" s="46"/>
      <c r="C39" s="46"/>
      <c r="D39" s="46"/>
      <c r="E39" s="46"/>
      <c r="F39" s="46"/>
      <c r="G39" s="46"/>
      <c r="H39" s="83"/>
      <c r="J39" s="84"/>
      <c r="K39" s="46"/>
      <c r="L39" s="46"/>
      <c r="M39" s="46"/>
      <c r="N39" s="46"/>
      <c r="O39" s="46"/>
      <c r="P39" s="46"/>
      <c r="Q39" s="83"/>
      <c r="S39" s="84"/>
      <c r="T39" s="46"/>
      <c r="U39" s="46"/>
      <c r="V39" s="46"/>
      <c r="W39" s="46"/>
      <c r="X39" s="46"/>
      <c r="Y39" s="46"/>
      <c r="Z39" s="83"/>
    </row>
    <row r="40" spans="1:26" ht="15" thickBot="1" x14ac:dyDescent="0.35">
      <c r="A40" s="82"/>
      <c r="B40" s="81"/>
      <c r="C40" s="81"/>
      <c r="D40" s="81"/>
      <c r="E40" s="81"/>
      <c r="F40" s="81"/>
      <c r="G40" s="81"/>
      <c r="H40" s="80"/>
      <c r="J40" s="82"/>
      <c r="K40" s="81"/>
      <c r="L40" s="81"/>
      <c r="M40" s="81"/>
      <c r="N40" s="81"/>
      <c r="O40" s="81"/>
      <c r="P40" s="81"/>
      <c r="Q40" s="80"/>
      <c r="S40" s="82"/>
      <c r="T40" s="81"/>
      <c r="U40" s="81"/>
      <c r="V40" s="81"/>
      <c r="W40" s="81"/>
      <c r="X40" s="81"/>
      <c r="Y40" s="81"/>
      <c r="Z40" s="80"/>
    </row>
    <row r="41" spans="1:26" x14ac:dyDescent="0.3">
      <c r="A41"/>
      <c r="B41"/>
      <c r="D41"/>
      <c r="T41"/>
      <c r="W41"/>
    </row>
    <row r="42" spans="1:26" ht="15" thickBot="1" x14ac:dyDescent="0.35">
      <c r="A42"/>
      <c r="B42"/>
      <c r="D42"/>
      <c r="J42" s="46"/>
      <c r="K42" s="46"/>
      <c r="L42" s="46"/>
      <c r="M42" s="46"/>
      <c r="N42" s="46"/>
      <c r="O42" s="46"/>
      <c r="P42" s="46"/>
      <c r="Q42" s="46"/>
      <c r="R42" s="46"/>
      <c r="T42"/>
      <c r="W42"/>
    </row>
    <row r="43" spans="1:26" ht="15" customHeight="1" x14ac:dyDescent="0.3">
      <c r="A43" s="87"/>
      <c r="B43" s="276" t="s">
        <v>20</v>
      </c>
      <c r="C43" s="276"/>
      <c r="D43" s="276"/>
      <c r="E43" s="276"/>
      <c r="F43" s="86"/>
      <c r="G43" s="86"/>
      <c r="H43" s="85"/>
      <c r="J43" s="87"/>
      <c r="K43" s="86"/>
      <c r="L43" s="232" t="s">
        <v>570</v>
      </c>
      <c r="M43" s="233"/>
      <c r="N43" s="233"/>
      <c r="O43" s="234"/>
      <c r="P43" s="86"/>
      <c r="Q43" s="85"/>
      <c r="R43" s="46"/>
      <c r="S43" s="88"/>
      <c r="T43" s="88"/>
      <c r="U43" s="263"/>
      <c r="V43" s="263"/>
      <c r="W43" s="263"/>
      <c r="X43" s="263"/>
      <c r="Y43" s="263"/>
      <c r="Z43" s="88"/>
    </row>
    <row r="44" spans="1:26" ht="15.75" customHeight="1" thickBot="1" x14ac:dyDescent="0.35">
      <c r="A44" s="84"/>
      <c r="B44" s="277"/>
      <c r="C44" s="277"/>
      <c r="D44" s="277"/>
      <c r="E44" s="277"/>
      <c r="F44" s="46"/>
      <c r="G44" s="46"/>
      <c r="H44" s="83"/>
      <c r="J44" s="84"/>
      <c r="K44" s="46"/>
      <c r="L44" s="235"/>
      <c r="M44" s="236"/>
      <c r="N44" s="236"/>
      <c r="O44" s="237"/>
      <c r="P44" s="46"/>
      <c r="Q44" s="83"/>
      <c r="R44" s="46"/>
      <c r="S44" s="88"/>
      <c r="T44" s="88"/>
      <c r="U44" s="263"/>
      <c r="V44" s="263"/>
      <c r="W44" s="263"/>
      <c r="X44" s="263"/>
      <c r="Y44" s="263"/>
      <c r="Z44" s="88"/>
    </row>
    <row r="45" spans="1:26" x14ac:dyDescent="0.3">
      <c r="A45" s="84"/>
      <c r="B45" s="46"/>
      <c r="C45" s="46"/>
      <c r="D45" s="46"/>
      <c r="E45" s="46"/>
      <c r="F45" s="46"/>
      <c r="G45" s="46"/>
      <c r="H45" s="83"/>
      <c r="J45" s="84"/>
      <c r="K45" s="46"/>
      <c r="L45" s="46"/>
      <c r="M45" s="46"/>
      <c r="N45" s="46"/>
      <c r="O45" s="46"/>
      <c r="P45" s="46"/>
      <c r="Q45" s="83"/>
      <c r="R45" s="46"/>
      <c r="S45" s="88"/>
      <c r="T45" s="88"/>
      <c r="U45" s="88"/>
      <c r="V45" s="88"/>
      <c r="W45" s="88"/>
      <c r="X45" s="88"/>
      <c r="Y45" s="88"/>
      <c r="Z45" s="88"/>
    </row>
    <row r="46" spans="1:26" x14ac:dyDescent="0.3">
      <c r="A46" s="84"/>
      <c r="B46" s="46"/>
      <c r="C46" s="46"/>
      <c r="D46" s="46"/>
      <c r="E46" s="46"/>
      <c r="F46" s="46"/>
      <c r="G46" s="46"/>
      <c r="H46" s="83"/>
      <c r="J46" s="84"/>
      <c r="K46" s="46"/>
      <c r="L46" s="46"/>
      <c r="M46" s="46"/>
      <c r="N46" s="46"/>
      <c r="O46" s="46"/>
      <c r="P46" s="46"/>
      <c r="Q46" s="83"/>
      <c r="R46" s="46"/>
      <c r="S46" s="88"/>
      <c r="T46" s="88"/>
      <c r="U46" s="88"/>
      <c r="V46" s="88"/>
      <c r="W46" s="88"/>
      <c r="X46" s="88"/>
      <c r="Y46" s="88"/>
      <c r="Z46" s="88"/>
    </row>
    <row r="47" spans="1:26" x14ac:dyDescent="0.3">
      <c r="A47" s="84"/>
      <c r="B47" s="46"/>
      <c r="C47" s="46"/>
      <c r="D47" s="46"/>
      <c r="E47" s="46"/>
      <c r="F47" s="46"/>
      <c r="G47" s="46"/>
      <c r="H47" s="83"/>
      <c r="J47" s="84"/>
      <c r="K47" s="46"/>
      <c r="L47" s="46"/>
      <c r="M47" s="46"/>
      <c r="N47" s="46"/>
      <c r="O47" s="46"/>
      <c r="P47" s="46"/>
      <c r="Q47" s="83"/>
      <c r="R47" s="46"/>
      <c r="S47" s="88"/>
      <c r="T47" s="88"/>
      <c r="U47" s="88"/>
      <c r="V47" s="88"/>
      <c r="W47" s="88"/>
      <c r="X47" s="88"/>
      <c r="Y47" s="88"/>
      <c r="Z47" s="88"/>
    </row>
    <row r="48" spans="1:26" x14ac:dyDescent="0.3">
      <c r="A48" s="84"/>
      <c r="B48" s="46"/>
      <c r="C48" s="46"/>
      <c r="D48" s="46"/>
      <c r="E48" s="46"/>
      <c r="F48" s="46"/>
      <c r="G48" s="46"/>
      <c r="H48" s="83"/>
      <c r="J48" s="84"/>
      <c r="K48" s="46"/>
      <c r="L48" s="46"/>
      <c r="M48" s="46"/>
      <c r="N48" s="46"/>
      <c r="O48" s="46"/>
      <c r="P48" s="46"/>
      <c r="Q48" s="83"/>
      <c r="R48" s="46"/>
      <c r="S48" s="88"/>
      <c r="T48" s="88"/>
      <c r="U48" s="88"/>
      <c r="V48" s="88"/>
      <c r="W48" s="88"/>
      <c r="X48" s="88"/>
      <c r="Y48" s="88"/>
      <c r="Z48" s="88"/>
    </row>
    <row r="49" spans="1:28" x14ac:dyDescent="0.3">
      <c r="A49" s="84"/>
      <c r="B49" s="46"/>
      <c r="C49" s="46"/>
      <c r="D49" s="46"/>
      <c r="E49" s="46"/>
      <c r="F49" s="46"/>
      <c r="G49" s="46"/>
      <c r="H49" s="83"/>
      <c r="J49" s="84"/>
      <c r="K49" s="46"/>
      <c r="L49" s="46"/>
      <c r="M49" s="46"/>
      <c r="N49" s="46"/>
      <c r="O49" s="46"/>
      <c r="P49" s="46"/>
      <c r="Q49" s="83"/>
      <c r="R49" s="46"/>
      <c r="S49" s="88"/>
      <c r="T49" s="88"/>
      <c r="U49" s="88"/>
      <c r="V49" s="88"/>
      <c r="W49" s="88"/>
      <c r="X49" s="88"/>
      <c r="Y49" s="88"/>
      <c r="Z49" s="88"/>
    </row>
    <row r="50" spans="1:28" x14ac:dyDescent="0.3">
      <c r="A50" s="84"/>
      <c r="B50" s="46"/>
      <c r="C50" s="46"/>
      <c r="D50" s="46"/>
      <c r="E50" s="46"/>
      <c r="F50" s="46"/>
      <c r="G50" s="46"/>
      <c r="H50" s="83"/>
      <c r="J50" s="84"/>
      <c r="K50" s="46"/>
      <c r="L50" s="46"/>
      <c r="M50" s="46"/>
      <c r="N50" s="46"/>
      <c r="O50" s="46"/>
      <c r="P50" s="46"/>
      <c r="Q50" s="83"/>
      <c r="R50" s="46"/>
      <c r="S50" s="88"/>
      <c r="T50" s="88"/>
      <c r="U50" s="88"/>
      <c r="V50" s="88"/>
      <c r="W50" s="88"/>
      <c r="X50" s="88"/>
      <c r="Y50" s="88"/>
      <c r="Z50" s="88"/>
    </row>
    <row r="51" spans="1:28" x14ac:dyDescent="0.3">
      <c r="A51" s="84"/>
      <c r="B51" s="46"/>
      <c r="C51" s="46"/>
      <c r="D51" s="46"/>
      <c r="E51" s="46"/>
      <c r="F51" s="46"/>
      <c r="G51" s="46"/>
      <c r="H51" s="83"/>
      <c r="J51" s="84"/>
      <c r="K51" s="46"/>
      <c r="L51" s="46"/>
      <c r="M51" s="46"/>
      <c r="N51" s="46"/>
      <c r="O51" s="46"/>
      <c r="P51" s="46"/>
      <c r="Q51" s="83"/>
      <c r="R51" s="46"/>
      <c r="S51" s="88"/>
      <c r="T51" s="88"/>
      <c r="U51" s="88"/>
      <c r="V51" s="88"/>
      <c r="W51" s="88"/>
      <c r="X51" s="88"/>
      <c r="Y51" s="88"/>
      <c r="Z51" s="88"/>
    </row>
    <row r="52" spans="1:28" x14ac:dyDescent="0.3">
      <c r="A52" s="84"/>
      <c r="B52" s="46"/>
      <c r="C52" s="46"/>
      <c r="D52" s="46"/>
      <c r="E52" s="46"/>
      <c r="F52" s="46"/>
      <c r="G52" s="46"/>
      <c r="H52" s="83"/>
      <c r="J52" s="84"/>
      <c r="K52" s="46"/>
      <c r="L52" s="46"/>
      <c r="M52" s="46"/>
      <c r="N52" s="46"/>
      <c r="O52" s="46"/>
      <c r="P52" s="46"/>
      <c r="Q52" s="83"/>
      <c r="R52" s="46"/>
      <c r="S52" s="88"/>
      <c r="T52" s="88"/>
      <c r="U52" s="88"/>
      <c r="V52" s="88"/>
      <c r="W52" s="88"/>
      <c r="X52" s="88"/>
      <c r="Y52" s="88"/>
      <c r="Z52" s="88"/>
    </row>
    <row r="53" spans="1:28" x14ac:dyDescent="0.3">
      <c r="A53" s="84"/>
      <c r="B53" s="46"/>
      <c r="C53" s="46"/>
      <c r="D53" s="46"/>
      <c r="E53" s="46"/>
      <c r="F53" s="46"/>
      <c r="G53" s="46"/>
      <c r="H53" s="83"/>
      <c r="J53" s="84"/>
      <c r="K53" s="46"/>
      <c r="L53" s="46"/>
      <c r="M53" s="46"/>
      <c r="N53" s="46"/>
      <c r="O53" s="46"/>
      <c r="P53" s="46"/>
      <c r="Q53" s="83"/>
      <c r="R53" s="46"/>
      <c r="S53" s="88"/>
      <c r="T53" s="88"/>
      <c r="U53" s="88"/>
      <c r="V53" s="88"/>
      <c r="W53" s="88"/>
      <c r="X53" s="88"/>
      <c r="Y53" s="88"/>
      <c r="Z53" s="88"/>
    </row>
    <row r="54" spans="1:28" x14ac:dyDescent="0.3">
      <c r="A54" s="84"/>
      <c r="B54" s="46"/>
      <c r="C54" s="46"/>
      <c r="D54" s="46"/>
      <c r="E54" s="46"/>
      <c r="F54" s="46"/>
      <c r="G54" s="46"/>
      <c r="H54" s="83"/>
      <c r="J54" s="84"/>
      <c r="K54" s="46"/>
      <c r="L54" s="46"/>
      <c r="M54" s="46"/>
      <c r="N54" s="46"/>
      <c r="O54" s="46"/>
      <c r="P54" s="46"/>
      <c r="Q54" s="83"/>
      <c r="R54" s="46"/>
      <c r="S54" s="88"/>
      <c r="T54" s="88"/>
      <c r="U54" s="88"/>
      <c r="V54" s="88"/>
      <c r="W54" s="88"/>
      <c r="X54" s="88"/>
      <c r="Y54" s="88"/>
      <c r="Z54" s="88"/>
    </row>
    <row r="55" spans="1:28" x14ac:dyDescent="0.3">
      <c r="A55" s="84"/>
      <c r="B55" s="46"/>
      <c r="C55" s="46"/>
      <c r="D55" s="46"/>
      <c r="E55" s="46"/>
      <c r="F55" s="46"/>
      <c r="G55" s="46"/>
      <c r="H55" s="83"/>
      <c r="J55" s="84"/>
      <c r="K55" s="46"/>
      <c r="L55" s="46"/>
      <c r="M55" s="46"/>
      <c r="N55" s="46"/>
      <c r="O55" s="46"/>
      <c r="P55" s="46"/>
      <c r="Q55" s="83"/>
      <c r="R55" s="46"/>
      <c r="S55" s="88"/>
      <c r="T55" s="88"/>
      <c r="U55" s="88"/>
      <c r="V55" s="88"/>
      <c r="W55" s="88"/>
      <c r="X55" s="88"/>
      <c r="Y55" s="88"/>
      <c r="Z55" s="88"/>
    </row>
    <row r="56" spans="1:28" x14ac:dyDescent="0.3">
      <c r="A56" s="84"/>
      <c r="B56" s="46"/>
      <c r="C56" s="46"/>
      <c r="D56" s="46"/>
      <c r="E56" s="46"/>
      <c r="F56" s="46"/>
      <c r="G56" s="46"/>
      <c r="H56" s="83"/>
      <c r="J56" s="84"/>
      <c r="K56" s="46"/>
      <c r="L56" s="46"/>
      <c r="M56" s="46"/>
      <c r="N56" s="46"/>
      <c r="O56" s="46"/>
      <c r="P56" s="46"/>
      <c r="Q56" s="83"/>
      <c r="R56" s="46"/>
      <c r="S56" s="88"/>
      <c r="T56" s="88"/>
      <c r="U56" s="88"/>
      <c r="V56" s="88"/>
      <c r="W56" s="88"/>
      <c r="X56" s="88"/>
      <c r="Y56" s="88"/>
      <c r="Z56" s="88"/>
    </row>
    <row r="57" spans="1:28" x14ac:dyDescent="0.3">
      <c r="A57" s="84"/>
      <c r="B57" s="46"/>
      <c r="C57" s="46"/>
      <c r="D57" s="46"/>
      <c r="E57" s="46"/>
      <c r="F57" s="46"/>
      <c r="G57" s="46"/>
      <c r="H57" s="83"/>
      <c r="J57" s="84"/>
      <c r="K57" s="46"/>
      <c r="L57" s="46"/>
      <c r="M57" s="46"/>
      <c r="N57" s="46"/>
      <c r="O57" s="46"/>
      <c r="P57" s="46"/>
      <c r="Q57" s="83"/>
      <c r="R57" s="46"/>
      <c r="S57" s="88"/>
      <c r="T57" s="88"/>
      <c r="U57" s="88"/>
      <c r="V57" s="88"/>
      <c r="W57" s="88"/>
      <c r="X57" s="88"/>
      <c r="Y57" s="88"/>
      <c r="Z57" s="88"/>
    </row>
    <row r="58" spans="1:28" x14ac:dyDescent="0.3">
      <c r="A58" s="84"/>
      <c r="B58" s="46"/>
      <c r="C58" s="46"/>
      <c r="D58" s="46"/>
      <c r="E58" s="46"/>
      <c r="F58" s="46"/>
      <c r="G58" s="46"/>
      <c r="H58" s="83"/>
      <c r="J58" s="84"/>
      <c r="K58" s="46"/>
      <c r="L58" s="46"/>
      <c r="M58" s="46"/>
      <c r="N58" s="46"/>
      <c r="O58" s="46"/>
      <c r="P58" s="46"/>
      <c r="Q58" s="83"/>
      <c r="R58" s="46"/>
      <c r="S58" s="88"/>
      <c r="T58" s="88"/>
      <c r="U58" s="88"/>
      <c r="V58" s="88"/>
      <c r="W58" s="88"/>
      <c r="X58" s="88"/>
      <c r="Y58" s="88"/>
      <c r="Z58" s="88"/>
    </row>
    <row r="59" spans="1:28" x14ac:dyDescent="0.3">
      <c r="A59" s="84"/>
      <c r="B59" s="46"/>
      <c r="C59" s="46"/>
      <c r="D59" s="46"/>
      <c r="E59" s="46"/>
      <c r="F59" s="46"/>
      <c r="G59" s="46"/>
      <c r="H59" s="83"/>
      <c r="J59" s="84"/>
      <c r="K59" s="46"/>
      <c r="L59" s="46"/>
      <c r="M59" s="46"/>
      <c r="N59" s="46"/>
      <c r="O59" s="46"/>
      <c r="P59" s="46"/>
      <c r="Q59" s="83"/>
      <c r="R59" s="46"/>
      <c r="S59" s="88"/>
      <c r="T59" s="88"/>
      <c r="U59" s="88"/>
      <c r="V59" s="88"/>
      <c r="W59" s="88"/>
      <c r="X59" s="88"/>
      <c r="Y59" s="88"/>
      <c r="Z59" s="88"/>
    </row>
    <row r="60" spans="1:28" ht="15" thickBot="1" x14ac:dyDescent="0.35">
      <c r="A60" s="82"/>
      <c r="B60" s="81"/>
      <c r="C60" s="81"/>
      <c r="D60" s="81"/>
      <c r="E60" s="81"/>
      <c r="F60" s="81"/>
      <c r="G60" s="81"/>
      <c r="H60" s="80"/>
      <c r="J60" s="82"/>
      <c r="K60" s="81"/>
      <c r="L60" s="81"/>
      <c r="M60" s="81"/>
      <c r="N60" s="81"/>
      <c r="O60" s="81"/>
      <c r="P60" s="81"/>
      <c r="Q60" s="80"/>
      <c r="R60" s="46"/>
      <c r="S60" s="88"/>
      <c r="T60" s="88"/>
      <c r="U60" s="88"/>
      <c r="V60" s="88"/>
      <c r="W60" s="88"/>
      <c r="X60" s="88"/>
      <c r="Y60" s="88"/>
      <c r="Z60" s="88"/>
    </row>
    <row r="61" spans="1:28" x14ac:dyDescent="0.3">
      <c r="A61"/>
      <c r="B61"/>
      <c r="D61"/>
      <c r="K61" s="3"/>
      <c r="S61" s="88"/>
      <c r="T61" s="88"/>
      <c r="U61" s="88"/>
      <c r="V61" s="88"/>
      <c r="W61" s="88"/>
      <c r="X61" s="88"/>
      <c r="Y61" s="88"/>
      <c r="Z61" s="88"/>
    </row>
    <row r="62" spans="1:28" ht="15" thickBot="1" x14ac:dyDescent="0.35">
      <c r="A62"/>
      <c r="B62"/>
      <c r="D62"/>
      <c r="S62" s="88"/>
      <c r="T62" s="88"/>
      <c r="U62" s="88"/>
      <c r="V62" s="88"/>
      <c r="W62" s="88"/>
      <c r="X62" s="88"/>
      <c r="Y62" s="88"/>
      <c r="Z62" s="88"/>
    </row>
    <row r="63" spans="1:28" ht="15" customHeight="1" x14ac:dyDescent="0.3">
      <c r="A63" s="87"/>
      <c r="B63" s="233" t="s">
        <v>23</v>
      </c>
      <c r="C63" s="233"/>
      <c r="D63" s="233"/>
      <c r="E63" s="234"/>
      <c r="F63" s="86"/>
      <c r="G63" s="86"/>
      <c r="H63" s="85"/>
      <c r="J63" s="87"/>
      <c r="K63" s="86"/>
      <c r="L63" s="233" t="s">
        <v>24</v>
      </c>
      <c r="M63" s="233"/>
      <c r="N63" s="233"/>
      <c r="O63" s="233"/>
      <c r="P63" s="86"/>
      <c r="Q63" s="85"/>
      <c r="S63" s="87"/>
      <c r="T63" s="86"/>
      <c r="U63" s="232" t="s">
        <v>571</v>
      </c>
      <c r="V63" s="233"/>
      <c r="W63" s="233"/>
      <c r="X63" s="234"/>
      <c r="Y63" s="86"/>
      <c r="Z63" s="85"/>
      <c r="AB63" s="167"/>
    </row>
    <row r="64" spans="1:28" ht="15.75" customHeight="1" thickBot="1" x14ac:dyDescent="0.35">
      <c r="A64" s="84"/>
      <c r="B64" s="278"/>
      <c r="C64" s="278"/>
      <c r="D64" s="278"/>
      <c r="E64" s="279"/>
      <c r="F64" s="46"/>
      <c r="G64" s="46"/>
      <c r="H64" s="83"/>
      <c r="J64" s="84"/>
      <c r="K64" s="46"/>
      <c r="L64" s="278"/>
      <c r="M64" s="278"/>
      <c r="N64" s="278"/>
      <c r="O64" s="278"/>
      <c r="P64" s="46"/>
      <c r="Q64" s="83"/>
      <c r="S64" s="84"/>
      <c r="T64" s="46"/>
      <c r="U64" s="235"/>
      <c r="V64" s="236"/>
      <c r="W64" s="236"/>
      <c r="X64" s="237"/>
      <c r="Y64" s="46"/>
      <c r="Z64" s="83"/>
    </row>
    <row r="65" spans="1:26" x14ac:dyDescent="0.3">
      <c r="A65" s="84"/>
      <c r="B65" s="46"/>
      <c r="C65" s="46"/>
      <c r="D65" s="46"/>
      <c r="E65" s="46"/>
      <c r="F65" s="46"/>
      <c r="G65" s="46"/>
      <c r="H65" s="83"/>
      <c r="J65" s="84"/>
      <c r="K65" s="46"/>
      <c r="L65" s="46"/>
      <c r="M65" s="46"/>
      <c r="N65" s="46"/>
      <c r="O65" s="46"/>
      <c r="P65" s="46"/>
      <c r="Q65" s="83"/>
      <c r="S65" s="84"/>
      <c r="T65" s="46"/>
      <c r="U65" s="46"/>
      <c r="V65" s="46"/>
      <c r="W65" s="46"/>
      <c r="X65" s="46"/>
      <c r="Y65" s="46"/>
      <c r="Z65" s="83"/>
    </row>
    <row r="66" spans="1:26" x14ac:dyDescent="0.3">
      <c r="A66" s="84"/>
      <c r="B66" s="46"/>
      <c r="C66" s="46"/>
      <c r="D66" s="46"/>
      <c r="E66" s="46"/>
      <c r="F66" s="46"/>
      <c r="G66" s="46"/>
      <c r="H66" s="83"/>
      <c r="J66" s="84"/>
      <c r="K66" s="46"/>
      <c r="L66" s="46"/>
      <c r="M66" s="46"/>
      <c r="N66" s="46"/>
      <c r="O66" s="46"/>
      <c r="P66" s="46"/>
      <c r="Q66" s="83"/>
      <c r="S66" s="84"/>
      <c r="T66" s="46"/>
      <c r="U66" s="46"/>
      <c r="V66" s="46"/>
      <c r="W66" s="46"/>
      <c r="X66" s="46"/>
      <c r="Y66" s="46"/>
      <c r="Z66" s="83"/>
    </row>
    <row r="67" spans="1:26" x14ac:dyDescent="0.3">
      <c r="A67" s="84"/>
      <c r="B67" s="46"/>
      <c r="C67" s="46"/>
      <c r="D67" s="46"/>
      <c r="E67" s="46"/>
      <c r="F67" s="46"/>
      <c r="G67" s="46"/>
      <c r="H67" s="83"/>
      <c r="J67" s="84"/>
      <c r="K67" s="46"/>
      <c r="L67" s="46"/>
      <c r="M67" s="46"/>
      <c r="N67" s="46"/>
      <c r="O67" s="46"/>
      <c r="P67" s="46"/>
      <c r="Q67" s="83"/>
      <c r="S67" s="84"/>
      <c r="T67" s="46"/>
      <c r="U67" s="46"/>
      <c r="V67" s="46"/>
      <c r="W67" s="46"/>
      <c r="X67" s="46"/>
      <c r="Y67" s="46"/>
      <c r="Z67" s="83"/>
    </row>
    <row r="68" spans="1:26" x14ac:dyDescent="0.3">
      <c r="A68" s="84"/>
      <c r="B68" s="46"/>
      <c r="C68" s="46"/>
      <c r="D68" s="46"/>
      <c r="E68" s="46"/>
      <c r="F68" s="46"/>
      <c r="G68" s="46"/>
      <c r="H68" s="83"/>
      <c r="J68" s="84"/>
      <c r="K68" s="46"/>
      <c r="L68" s="46"/>
      <c r="M68" s="46"/>
      <c r="N68" s="46"/>
      <c r="O68" s="46"/>
      <c r="P68" s="46"/>
      <c r="Q68" s="83"/>
      <c r="S68" s="84"/>
      <c r="T68" s="46"/>
      <c r="U68" s="46"/>
      <c r="V68" s="46"/>
      <c r="W68" s="46"/>
      <c r="X68" s="46"/>
      <c r="Y68" s="46"/>
      <c r="Z68" s="83"/>
    </row>
    <row r="69" spans="1:26" x14ac:dyDescent="0.3">
      <c r="A69" s="84"/>
      <c r="B69" s="46"/>
      <c r="C69" s="46"/>
      <c r="D69" s="46"/>
      <c r="E69" s="46"/>
      <c r="F69" s="46"/>
      <c r="G69" s="46"/>
      <c r="H69" s="83"/>
      <c r="J69" s="84"/>
      <c r="K69" s="46"/>
      <c r="L69" s="46"/>
      <c r="M69" s="46"/>
      <c r="N69" s="46"/>
      <c r="O69" s="46"/>
      <c r="P69" s="46"/>
      <c r="Q69" s="83"/>
      <c r="S69" s="84"/>
      <c r="T69" s="46"/>
      <c r="U69" s="46"/>
      <c r="V69" s="46"/>
      <c r="W69" s="46"/>
      <c r="X69" s="46"/>
      <c r="Y69" s="46"/>
      <c r="Z69" s="83"/>
    </row>
    <row r="70" spans="1:26" x14ac:dyDescent="0.3">
      <c r="A70" s="84"/>
      <c r="B70" s="46"/>
      <c r="C70" s="46"/>
      <c r="D70" s="46"/>
      <c r="E70" s="46"/>
      <c r="F70" s="46"/>
      <c r="G70" s="46"/>
      <c r="H70" s="83"/>
      <c r="J70" s="84"/>
      <c r="K70" s="46"/>
      <c r="L70" s="46"/>
      <c r="M70" s="46"/>
      <c r="N70" s="46"/>
      <c r="O70" s="46"/>
      <c r="P70" s="46"/>
      <c r="Q70" s="83"/>
      <c r="S70" s="84"/>
      <c r="T70" s="46"/>
      <c r="U70" s="46"/>
      <c r="V70" s="46"/>
      <c r="W70" s="46"/>
      <c r="X70" s="46"/>
      <c r="Y70" s="46"/>
      <c r="Z70" s="83"/>
    </row>
    <row r="71" spans="1:26" x14ac:dyDescent="0.3">
      <c r="A71" s="84"/>
      <c r="B71" s="46"/>
      <c r="C71" s="46"/>
      <c r="D71" s="46"/>
      <c r="E71" s="46"/>
      <c r="F71" s="46"/>
      <c r="G71" s="46"/>
      <c r="H71" s="83"/>
      <c r="J71" s="84"/>
      <c r="K71" s="46"/>
      <c r="L71" s="46"/>
      <c r="M71" s="46"/>
      <c r="N71" s="46"/>
      <c r="O71" s="46"/>
      <c r="P71" s="46"/>
      <c r="Q71" s="83"/>
      <c r="S71" s="84"/>
      <c r="T71" s="46"/>
      <c r="U71" s="46"/>
      <c r="V71" s="46"/>
      <c r="W71" s="46"/>
      <c r="X71" s="46"/>
      <c r="Y71" s="46"/>
      <c r="Z71" s="83"/>
    </row>
    <row r="72" spans="1:26" x14ac:dyDescent="0.3">
      <c r="A72" s="84"/>
      <c r="B72" s="46"/>
      <c r="C72" s="46"/>
      <c r="D72" s="46"/>
      <c r="E72" s="46"/>
      <c r="F72" s="46"/>
      <c r="G72" s="46"/>
      <c r="H72" s="83"/>
      <c r="J72" s="84"/>
      <c r="K72" s="46"/>
      <c r="L72" s="46"/>
      <c r="M72" s="46"/>
      <c r="N72" s="46"/>
      <c r="O72" s="46"/>
      <c r="P72" s="46"/>
      <c r="Q72" s="83"/>
      <c r="S72" s="84"/>
      <c r="T72" s="46"/>
      <c r="U72" s="46"/>
      <c r="V72" s="46"/>
      <c r="W72" s="46"/>
      <c r="X72" s="46"/>
      <c r="Y72" s="46"/>
      <c r="Z72" s="83"/>
    </row>
    <row r="73" spans="1:26" x14ac:dyDescent="0.3">
      <c r="A73" s="84"/>
      <c r="B73" s="46"/>
      <c r="C73" s="46"/>
      <c r="D73" s="46"/>
      <c r="E73" s="46"/>
      <c r="F73" s="46"/>
      <c r="G73" s="46"/>
      <c r="H73" s="83"/>
      <c r="J73" s="84"/>
      <c r="K73" s="46"/>
      <c r="L73" s="46"/>
      <c r="M73" s="46"/>
      <c r="N73" s="46"/>
      <c r="O73" s="46"/>
      <c r="P73" s="46"/>
      <c r="Q73" s="83"/>
      <c r="S73" s="84"/>
      <c r="T73" s="46"/>
      <c r="U73" s="46"/>
      <c r="V73" s="46"/>
      <c r="W73" s="46"/>
      <c r="X73" s="46"/>
      <c r="Y73" s="46"/>
      <c r="Z73" s="83"/>
    </row>
    <row r="74" spans="1:26" x14ac:dyDescent="0.3">
      <c r="A74" s="84"/>
      <c r="B74" s="46"/>
      <c r="C74" s="46"/>
      <c r="D74" s="46"/>
      <c r="E74" s="46"/>
      <c r="F74" s="46"/>
      <c r="G74" s="46"/>
      <c r="H74" s="83"/>
      <c r="J74" s="84"/>
      <c r="K74" s="46"/>
      <c r="L74" s="46"/>
      <c r="M74" s="46"/>
      <c r="N74" s="46"/>
      <c r="O74" s="46"/>
      <c r="P74" s="46"/>
      <c r="Q74" s="83"/>
      <c r="S74" s="84"/>
      <c r="T74" s="46"/>
      <c r="U74" s="46"/>
      <c r="V74" s="46"/>
      <c r="W74" s="46"/>
      <c r="X74" s="46"/>
      <c r="Y74" s="46"/>
      <c r="Z74" s="83"/>
    </row>
    <row r="75" spans="1:26" x14ac:dyDescent="0.3">
      <c r="A75" s="84"/>
      <c r="B75" s="46"/>
      <c r="C75" s="46"/>
      <c r="D75" s="46"/>
      <c r="E75" s="46"/>
      <c r="F75" s="46"/>
      <c r="G75" s="46"/>
      <c r="H75" s="83"/>
      <c r="J75" s="84"/>
      <c r="K75" s="46"/>
      <c r="L75" s="46"/>
      <c r="M75" s="46"/>
      <c r="N75" s="46"/>
      <c r="O75" s="46"/>
      <c r="P75" s="46"/>
      <c r="Q75" s="83"/>
      <c r="S75" s="84"/>
      <c r="T75" s="46"/>
      <c r="U75" s="46"/>
      <c r="V75" s="46"/>
      <c r="W75" s="46"/>
      <c r="X75" s="46"/>
      <c r="Y75" s="46"/>
      <c r="Z75" s="83"/>
    </row>
    <row r="76" spans="1:26" x14ac:dyDescent="0.3">
      <c r="A76" s="84"/>
      <c r="B76" s="46"/>
      <c r="C76" s="46"/>
      <c r="D76" s="46"/>
      <c r="E76" s="46"/>
      <c r="F76" s="46"/>
      <c r="G76" s="46"/>
      <c r="H76" s="83"/>
      <c r="J76" s="84"/>
      <c r="K76" s="46"/>
      <c r="L76" s="46"/>
      <c r="M76" s="46"/>
      <c r="N76" s="46"/>
      <c r="O76" s="46"/>
      <c r="P76" s="46"/>
      <c r="Q76" s="83"/>
      <c r="S76" s="84"/>
      <c r="T76" s="46"/>
      <c r="U76" s="46"/>
      <c r="V76" s="46"/>
      <c r="W76" s="46"/>
      <c r="X76" s="46"/>
      <c r="Y76" s="46"/>
      <c r="Z76" s="83"/>
    </row>
    <row r="77" spans="1:26" x14ac:dyDescent="0.3">
      <c r="A77" s="84"/>
      <c r="B77" s="46"/>
      <c r="C77" s="46"/>
      <c r="D77" s="46"/>
      <c r="E77" s="46"/>
      <c r="F77" s="46"/>
      <c r="G77" s="46"/>
      <c r="H77" s="83"/>
      <c r="J77" s="84"/>
      <c r="K77" s="46"/>
      <c r="L77" s="46"/>
      <c r="M77" s="46"/>
      <c r="N77" s="46"/>
      <c r="O77" s="46"/>
      <c r="P77" s="46"/>
      <c r="Q77" s="83"/>
      <c r="S77" s="84"/>
      <c r="T77" s="46"/>
      <c r="U77" s="46"/>
      <c r="V77" s="46"/>
      <c r="W77" s="46"/>
      <c r="X77" s="46"/>
      <c r="Y77" s="46"/>
      <c r="Z77" s="83"/>
    </row>
    <row r="78" spans="1:26" x14ac:dyDescent="0.3">
      <c r="A78" s="84"/>
      <c r="B78" s="46"/>
      <c r="C78" s="46"/>
      <c r="D78" s="46"/>
      <c r="E78" s="46"/>
      <c r="F78" s="46"/>
      <c r="G78" s="46"/>
      <c r="H78" s="83"/>
      <c r="J78" s="84"/>
      <c r="K78" s="46"/>
      <c r="L78" s="46"/>
      <c r="M78" s="46"/>
      <c r="N78" s="46"/>
      <c r="O78" s="46"/>
      <c r="P78" s="46"/>
      <c r="Q78" s="83"/>
      <c r="S78" s="84"/>
      <c r="T78" s="46"/>
      <c r="U78" s="46"/>
      <c r="V78" s="46"/>
      <c r="W78" s="46"/>
      <c r="X78" s="46"/>
      <c r="Y78" s="46"/>
      <c r="Z78" s="83"/>
    </row>
    <row r="79" spans="1:26" x14ac:dyDescent="0.3">
      <c r="A79" s="84"/>
      <c r="B79" s="46"/>
      <c r="C79" s="46"/>
      <c r="D79" s="46"/>
      <c r="E79" s="46"/>
      <c r="F79" s="46"/>
      <c r="G79" s="46"/>
      <c r="H79" s="83"/>
      <c r="J79" s="84"/>
      <c r="K79" s="46"/>
      <c r="L79" s="46"/>
      <c r="M79" s="46"/>
      <c r="N79" s="46"/>
      <c r="O79" s="46"/>
      <c r="P79" s="46"/>
      <c r="Q79" s="83"/>
      <c r="S79" s="84"/>
      <c r="T79" s="46"/>
      <c r="U79" s="46"/>
      <c r="V79" s="46"/>
      <c r="W79" s="46"/>
      <c r="X79" s="46"/>
      <c r="Y79" s="46"/>
      <c r="Z79" s="83"/>
    </row>
    <row r="80" spans="1:26" ht="15" thickBot="1" x14ac:dyDescent="0.35">
      <c r="A80" s="82"/>
      <c r="B80" s="81"/>
      <c r="C80" s="81"/>
      <c r="D80" s="81"/>
      <c r="E80" s="81"/>
      <c r="F80" s="81"/>
      <c r="G80" s="81"/>
      <c r="H80" s="80"/>
      <c r="J80" s="82"/>
      <c r="K80" s="81"/>
      <c r="L80" s="81"/>
      <c r="M80" s="81"/>
      <c r="N80" s="81"/>
      <c r="O80" s="81"/>
      <c r="P80" s="81"/>
      <c r="Q80" s="80"/>
      <c r="S80" s="82"/>
      <c r="T80" s="81"/>
      <c r="U80" s="81"/>
      <c r="V80" s="81"/>
      <c r="W80" s="81"/>
      <c r="X80" s="81"/>
      <c r="Y80" s="81"/>
      <c r="Z80" s="80"/>
    </row>
    <row r="81" spans="1:26" x14ac:dyDescent="0.3">
      <c r="A81"/>
      <c r="B81"/>
      <c r="D81"/>
      <c r="T81" s="3"/>
      <c r="W81"/>
    </row>
    <row r="82" spans="1:26" ht="15" thickBot="1" x14ac:dyDescent="0.35">
      <c r="A82"/>
      <c r="B82"/>
      <c r="D82"/>
      <c r="T82"/>
      <c r="W82"/>
    </row>
    <row r="83" spans="1:26" ht="15" customHeight="1" x14ac:dyDescent="0.3">
      <c r="A83" s="87"/>
      <c r="B83" s="238" t="s">
        <v>572</v>
      </c>
      <c r="C83" s="239"/>
      <c r="D83" s="239"/>
      <c r="E83" s="239"/>
      <c r="F83" s="240"/>
      <c r="G83" s="86"/>
      <c r="H83" s="85"/>
      <c r="J83" s="87"/>
      <c r="K83" s="86"/>
      <c r="L83" s="86"/>
      <c r="M83" s="232" t="s">
        <v>573</v>
      </c>
      <c r="N83" s="234"/>
      <c r="O83" s="86"/>
      <c r="P83" s="86"/>
      <c r="Q83" s="85"/>
      <c r="S83" s="87"/>
      <c r="T83" s="86"/>
      <c r="U83" s="86"/>
      <c r="V83" s="232" t="s">
        <v>574</v>
      </c>
      <c r="W83" s="234"/>
      <c r="X83" s="86"/>
      <c r="Y83" s="86"/>
      <c r="Z83" s="85"/>
    </row>
    <row r="84" spans="1:26" ht="15.75" customHeight="1" thickBot="1" x14ac:dyDescent="0.35">
      <c r="A84" s="84"/>
      <c r="B84" s="241"/>
      <c r="C84" s="242"/>
      <c r="D84" s="242"/>
      <c r="E84" s="242"/>
      <c r="F84" s="243"/>
      <c r="G84" s="46"/>
      <c r="H84" s="83"/>
      <c r="J84" s="84"/>
      <c r="K84" s="46"/>
      <c r="L84" s="46"/>
      <c r="M84" s="235"/>
      <c r="N84" s="237"/>
      <c r="O84" s="46"/>
      <c r="P84" s="46"/>
      <c r="Q84" s="83"/>
      <c r="S84" s="84"/>
      <c r="T84" s="46"/>
      <c r="U84" s="46"/>
      <c r="V84" s="235"/>
      <c r="W84" s="237"/>
      <c r="X84" s="46"/>
      <c r="Y84" s="46"/>
      <c r="Z84" s="83"/>
    </row>
    <row r="85" spans="1:26" x14ac:dyDescent="0.3">
      <c r="A85" s="84"/>
      <c r="B85" s="46"/>
      <c r="C85" s="46"/>
      <c r="D85" s="46"/>
      <c r="E85" s="46"/>
      <c r="F85" s="46"/>
      <c r="G85" s="46"/>
      <c r="H85" s="83"/>
      <c r="J85" s="84"/>
      <c r="K85" s="46"/>
      <c r="L85" s="46"/>
      <c r="M85" s="46"/>
      <c r="N85" s="46"/>
      <c r="O85" s="46"/>
      <c r="P85" s="46"/>
      <c r="Q85" s="83"/>
      <c r="S85" s="84"/>
      <c r="T85" s="46"/>
      <c r="U85" s="46"/>
      <c r="V85" s="46"/>
      <c r="W85" s="46"/>
      <c r="X85" s="46"/>
      <c r="Y85" s="46"/>
      <c r="Z85" s="83"/>
    </row>
    <row r="86" spans="1:26" x14ac:dyDescent="0.3">
      <c r="A86" s="84"/>
      <c r="B86" s="46"/>
      <c r="C86" s="46"/>
      <c r="D86" s="46"/>
      <c r="E86" s="46"/>
      <c r="F86" s="46"/>
      <c r="G86" s="46"/>
      <c r="H86" s="83"/>
      <c r="J86" s="84"/>
      <c r="K86" s="46"/>
      <c r="L86" s="46"/>
      <c r="M86" s="46"/>
      <c r="N86" s="46"/>
      <c r="O86" s="46"/>
      <c r="P86" s="46"/>
      <c r="Q86" s="83"/>
      <c r="S86" s="84"/>
      <c r="T86" s="46"/>
      <c r="U86" s="46"/>
      <c r="V86" s="46"/>
      <c r="W86" s="46"/>
      <c r="X86" s="46"/>
      <c r="Y86" s="46"/>
      <c r="Z86" s="83"/>
    </row>
    <row r="87" spans="1:26" x14ac:dyDescent="0.3">
      <c r="A87" s="84"/>
      <c r="B87" s="46"/>
      <c r="C87" s="46"/>
      <c r="D87" s="46"/>
      <c r="E87" s="46"/>
      <c r="F87" s="46"/>
      <c r="G87" s="46"/>
      <c r="H87" s="83"/>
      <c r="J87" s="84"/>
      <c r="K87" s="46"/>
      <c r="L87" s="46"/>
      <c r="M87" s="46"/>
      <c r="N87" s="46"/>
      <c r="O87" s="46"/>
      <c r="P87" s="46"/>
      <c r="Q87" s="83"/>
      <c r="S87" s="84"/>
      <c r="T87" s="46"/>
      <c r="U87" s="46"/>
      <c r="V87" s="46"/>
      <c r="W87" s="46"/>
      <c r="X87" s="46"/>
      <c r="Y87" s="46"/>
      <c r="Z87" s="83"/>
    </row>
    <row r="88" spans="1:26" x14ac:dyDescent="0.3">
      <c r="A88" s="84"/>
      <c r="B88" s="46"/>
      <c r="C88" s="46"/>
      <c r="D88" s="46"/>
      <c r="E88" s="46"/>
      <c r="F88" s="46"/>
      <c r="G88" s="46"/>
      <c r="H88" s="83"/>
      <c r="J88" s="84"/>
      <c r="K88" s="46"/>
      <c r="L88" s="46"/>
      <c r="M88" s="46"/>
      <c r="N88" s="46"/>
      <c r="O88" s="46"/>
      <c r="P88" s="46"/>
      <c r="Q88" s="83"/>
      <c r="S88" s="84"/>
      <c r="T88" s="46"/>
      <c r="U88" s="46"/>
      <c r="V88" s="46"/>
      <c r="W88" s="46"/>
      <c r="X88" s="46"/>
      <c r="Y88" s="46"/>
      <c r="Z88" s="83"/>
    </row>
    <row r="89" spans="1:26" x14ac:dyDescent="0.3">
      <c r="A89" s="84"/>
      <c r="B89" s="46"/>
      <c r="C89" s="46"/>
      <c r="D89" s="46"/>
      <c r="E89" s="46"/>
      <c r="F89" s="46"/>
      <c r="G89" s="46"/>
      <c r="H89" s="83"/>
      <c r="J89" s="84"/>
      <c r="K89" s="46"/>
      <c r="L89" s="46"/>
      <c r="M89" s="46"/>
      <c r="N89" s="46"/>
      <c r="O89" s="46"/>
      <c r="P89" s="46"/>
      <c r="Q89" s="83"/>
      <c r="S89" s="84"/>
      <c r="T89" s="46"/>
      <c r="U89" s="46"/>
      <c r="V89" s="46"/>
      <c r="W89" s="46"/>
      <c r="X89" s="46"/>
      <c r="Y89" s="46"/>
      <c r="Z89" s="83"/>
    </row>
    <row r="90" spans="1:26" x14ac:dyDescent="0.3">
      <c r="A90" s="84"/>
      <c r="B90" s="46"/>
      <c r="C90" s="46"/>
      <c r="D90" s="46"/>
      <c r="E90" s="46"/>
      <c r="F90" s="46"/>
      <c r="G90" s="46"/>
      <c r="H90" s="83"/>
      <c r="J90" s="84"/>
      <c r="K90" s="46"/>
      <c r="L90" s="46"/>
      <c r="M90" s="46"/>
      <c r="N90" s="46"/>
      <c r="O90" s="46"/>
      <c r="P90" s="46"/>
      <c r="Q90" s="83"/>
      <c r="S90" s="84"/>
      <c r="T90" s="46"/>
      <c r="U90" s="46"/>
      <c r="V90" s="46"/>
      <c r="W90" s="46"/>
      <c r="X90" s="46"/>
      <c r="Y90" s="46"/>
      <c r="Z90" s="83"/>
    </row>
    <row r="91" spans="1:26" x14ac:dyDescent="0.3">
      <c r="A91" s="84"/>
      <c r="B91" s="46"/>
      <c r="C91" s="46"/>
      <c r="D91" s="46"/>
      <c r="E91" s="46"/>
      <c r="F91" s="46"/>
      <c r="G91" s="46"/>
      <c r="H91" s="83"/>
      <c r="J91" s="84"/>
      <c r="K91" s="46"/>
      <c r="L91" s="46"/>
      <c r="M91" s="46"/>
      <c r="N91" s="46"/>
      <c r="O91" s="46"/>
      <c r="P91" s="46"/>
      <c r="Q91" s="83"/>
      <c r="S91" s="84"/>
      <c r="T91" s="46"/>
      <c r="U91" s="46"/>
      <c r="V91" s="46"/>
      <c r="W91" s="46"/>
      <c r="X91" s="46"/>
      <c r="Y91" s="46"/>
      <c r="Z91" s="83"/>
    </row>
    <row r="92" spans="1:26" x14ac:dyDescent="0.3">
      <c r="A92" s="84"/>
      <c r="B92" s="46"/>
      <c r="C92" s="46"/>
      <c r="D92" s="46"/>
      <c r="E92" s="46"/>
      <c r="F92" s="46"/>
      <c r="G92" s="46"/>
      <c r="H92" s="83"/>
      <c r="J92" s="84"/>
      <c r="K92" s="46"/>
      <c r="L92" s="46"/>
      <c r="M92" s="46"/>
      <c r="N92" s="46"/>
      <c r="O92" s="46"/>
      <c r="P92" s="46"/>
      <c r="Q92" s="83"/>
      <c r="S92" s="84"/>
      <c r="T92" s="46"/>
      <c r="U92" s="46"/>
      <c r="V92" s="46"/>
      <c r="W92" s="46"/>
      <c r="X92" s="46"/>
      <c r="Y92" s="46"/>
      <c r="Z92" s="83"/>
    </row>
    <row r="93" spans="1:26" x14ac:dyDescent="0.3">
      <c r="A93" s="84"/>
      <c r="B93" s="46"/>
      <c r="C93" s="46"/>
      <c r="D93" s="46"/>
      <c r="E93" s="46"/>
      <c r="F93" s="46"/>
      <c r="G93" s="46"/>
      <c r="H93" s="83"/>
      <c r="J93" s="84"/>
      <c r="K93" s="46"/>
      <c r="L93" s="46"/>
      <c r="M93" s="46"/>
      <c r="N93" s="46"/>
      <c r="O93" s="46"/>
      <c r="P93" s="46"/>
      <c r="Q93" s="83"/>
      <c r="S93" s="84"/>
      <c r="T93" s="46"/>
      <c r="U93" s="46"/>
      <c r="V93" s="46"/>
      <c r="W93" s="46"/>
      <c r="X93" s="46"/>
      <c r="Y93" s="46"/>
      <c r="Z93" s="83"/>
    </row>
    <row r="94" spans="1:26" x14ac:dyDescent="0.3">
      <c r="A94" s="84"/>
      <c r="B94" s="46"/>
      <c r="C94" s="46"/>
      <c r="D94" s="46"/>
      <c r="E94" s="46"/>
      <c r="F94" s="46"/>
      <c r="G94" s="46"/>
      <c r="H94" s="83"/>
      <c r="J94" s="84"/>
      <c r="K94" s="46"/>
      <c r="L94" s="46"/>
      <c r="M94" s="46"/>
      <c r="N94" s="46"/>
      <c r="O94" s="46"/>
      <c r="P94" s="46"/>
      <c r="Q94" s="83"/>
      <c r="S94" s="84"/>
      <c r="T94" s="46"/>
      <c r="U94" s="46"/>
      <c r="V94" s="46"/>
      <c r="W94" s="46"/>
      <c r="X94" s="46"/>
      <c r="Y94" s="46"/>
      <c r="Z94" s="83"/>
    </row>
    <row r="95" spans="1:26" x14ac:dyDescent="0.3">
      <c r="A95" s="84"/>
      <c r="B95" s="46"/>
      <c r="C95" s="46"/>
      <c r="D95" s="46"/>
      <c r="E95" s="46"/>
      <c r="F95" s="46"/>
      <c r="G95" s="46"/>
      <c r="H95" s="83"/>
      <c r="J95" s="84"/>
      <c r="K95" s="46"/>
      <c r="L95" s="46"/>
      <c r="M95" s="46"/>
      <c r="N95" s="46"/>
      <c r="O95" s="46"/>
      <c r="P95" s="46"/>
      <c r="Q95" s="83"/>
      <c r="S95" s="84"/>
      <c r="T95" s="46"/>
      <c r="U95" s="46"/>
      <c r="V95" s="46"/>
      <c r="W95" s="46"/>
      <c r="X95" s="46"/>
      <c r="Y95" s="46"/>
      <c r="Z95" s="83"/>
    </row>
    <row r="96" spans="1:26" x14ac:dyDescent="0.3">
      <c r="A96" s="84"/>
      <c r="B96" s="46"/>
      <c r="C96" s="46"/>
      <c r="D96" s="46"/>
      <c r="E96" s="46"/>
      <c r="F96" s="46"/>
      <c r="G96" s="46"/>
      <c r="H96" s="83"/>
      <c r="J96" s="84"/>
      <c r="K96" s="46"/>
      <c r="L96" s="46"/>
      <c r="M96" s="46"/>
      <c r="N96" s="46"/>
      <c r="O96" s="46"/>
      <c r="P96" s="46"/>
      <c r="Q96" s="83"/>
      <c r="S96" s="84"/>
      <c r="T96" s="46"/>
      <c r="U96" s="46"/>
      <c r="V96" s="46"/>
      <c r="W96" s="46"/>
      <c r="X96" s="46"/>
      <c r="Y96" s="46"/>
      <c r="Z96" s="83"/>
    </row>
    <row r="97" spans="1:26" x14ac:dyDescent="0.3">
      <c r="A97" s="84"/>
      <c r="B97" s="46"/>
      <c r="C97" s="46"/>
      <c r="D97" s="46"/>
      <c r="E97" s="46"/>
      <c r="F97" s="46"/>
      <c r="G97" s="46"/>
      <c r="H97" s="83"/>
      <c r="J97" s="84"/>
      <c r="K97" s="46"/>
      <c r="L97" s="46"/>
      <c r="M97" s="46"/>
      <c r="N97" s="46"/>
      <c r="O97" s="46"/>
      <c r="P97" s="46"/>
      <c r="Q97" s="83"/>
      <c r="S97" s="84"/>
      <c r="T97" s="46"/>
      <c r="U97" s="46"/>
      <c r="V97" s="46"/>
      <c r="W97" s="46"/>
      <c r="X97" s="46"/>
      <c r="Y97" s="46"/>
      <c r="Z97" s="83"/>
    </row>
    <row r="98" spans="1:26" x14ac:dyDescent="0.3">
      <c r="A98" s="84"/>
      <c r="B98" s="46"/>
      <c r="C98" s="46"/>
      <c r="D98" s="46"/>
      <c r="E98" s="46"/>
      <c r="F98" s="46"/>
      <c r="G98" s="46"/>
      <c r="H98" s="83"/>
      <c r="J98" s="84"/>
      <c r="K98" s="46"/>
      <c r="L98" s="46"/>
      <c r="M98" s="46"/>
      <c r="N98" s="46"/>
      <c r="O98" s="46"/>
      <c r="P98" s="46"/>
      <c r="Q98" s="83"/>
      <c r="S98" s="84"/>
      <c r="T98" s="46"/>
      <c r="U98" s="46"/>
      <c r="V98" s="46"/>
      <c r="W98" s="46"/>
      <c r="X98" s="46"/>
      <c r="Y98" s="46"/>
      <c r="Z98" s="83"/>
    </row>
    <row r="99" spans="1:26" x14ac:dyDescent="0.3">
      <c r="A99" s="84"/>
      <c r="B99" s="46"/>
      <c r="C99" s="46"/>
      <c r="D99" s="46"/>
      <c r="E99" s="46"/>
      <c r="F99" s="46"/>
      <c r="G99" s="46"/>
      <c r="H99" s="83"/>
      <c r="J99" s="84"/>
      <c r="K99" s="46"/>
      <c r="L99" s="46"/>
      <c r="M99" s="46"/>
      <c r="N99" s="46"/>
      <c r="O99" s="46"/>
      <c r="P99" s="46"/>
      <c r="Q99" s="83"/>
      <c r="S99" s="84"/>
      <c r="T99" s="46"/>
      <c r="U99" s="46"/>
      <c r="V99" s="46"/>
      <c r="W99" s="46"/>
      <c r="X99" s="46"/>
      <c r="Y99" s="46"/>
      <c r="Z99" s="83"/>
    </row>
    <row r="100" spans="1:26" ht="15" thickBot="1" x14ac:dyDescent="0.35">
      <c r="A100" s="82"/>
      <c r="B100" s="81"/>
      <c r="C100" s="81"/>
      <c r="D100" s="81"/>
      <c r="E100" s="81"/>
      <c r="F100" s="81"/>
      <c r="G100" s="81"/>
      <c r="H100" s="80"/>
      <c r="J100" s="82"/>
      <c r="K100" s="81"/>
      <c r="L100" s="81"/>
      <c r="M100" s="81"/>
      <c r="N100" s="81"/>
      <c r="O100" s="81"/>
      <c r="P100" s="81"/>
      <c r="Q100" s="80"/>
      <c r="S100" s="82"/>
      <c r="T100" s="81"/>
      <c r="U100" s="81"/>
      <c r="V100" s="81"/>
      <c r="W100" s="81"/>
      <c r="X100" s="81"/>
      <c r="Y100" s="81"/>
      <c r="Z100" s="80"/>
    </row>
    <row r="119" spans="1:25" ht="23.4" x14ac:dyDescent="0.45">
      <c r="A119" s="89" t="s">
        <v>28</v>
      </c>
    </row>
    <row r="122" spans="1:25" ht="15" thickBot="1" x14ac:dyDescent="0.35"/>
    <row r="123" spans="1:25" ht="15" thickBot="1" x14ac:dyDescent="0.35">
      <c r="A123" s="264" t="s">
        <v>575</v>
      </c>
      <c r="B123" s="265"/>
    </row>
    <row r="124" spans="1:25" ht="15" thickBot="1" x14ac:dyDescent="0.35">
      <c r="A124" s="57" t="s">
        <v>29</v>
      </c>
      <c r="B124" s="58" t="s">
        <v>576</v>
      </c>
      <c r="C124" s="59" t="s">
        <v>260</v>
      </c>
      <c r="D124" s="58" t="s">
        <v>577</v>
      </c>
      <c r="E124" s="59" t="s">
        <v>578</v>
      </c>
      <c r="F124" s="59" t="s">
        <v>579</v>
      </c>
      <c r="G124" s="59" t="s">
        <v>580</v>
      </c>
      <c r="H124" s="59" t="s">
        <v>480</v>
      </c>
      <c r="I124" s="59" t="s">
        <v>251</v>
      </c>
      <c r="J124" s="59" t="s">
        <v>249</v>
      </c>
      <c r="K124" s="59" t="s">
        <v>250</v>
      </c>
      <c r="L124" s="59" t="s">
        <v>581</v>
      </c>
      <c r="M124" s="59" t="s">
        <v>582</v>
      </c>
      <c r="N124" s="59" t="s">
        <v>583</v>
      </c>
      <c r="O124" s="59" t="s">
        <v>584</v>
      </c>
      <c r="P124" s="59" t="s">
        <v>9</v>
      </c>
      <c r="Q124" s="59" t="s">
        <v>10</v>
      </c>
      <c r="R124" s="59" t="s">
        <v>50</v>
      </c>
      <c r="S124" s="59" t="s">
        <v>11</v>
      </c>
      <c r="T124" s="60" t="s">
        <v>6</v>
      </c>
      <c r="U124" s="59" t="s">
        <v>585</v>
      </c>
      <c r="V124" s="59" t="s">
        <v>586</v>
      </c>
      <c r="W124" s="61" t="s">
        <v>13</v>
      </c>
      <c r="Y124" t="s">
        <v>587</v>
      </c>
    </row>
    <row r="125" spans="1:25" x14ac:dyDescent="0.3">
      <c r="A125" s="73" t="s">
        <v>588</v>
      </c>
      <c r="B125" s="74" t="s">
        <v>589</v>
      </c>
      <c r="C125" s="75" t="s">
        <v>590</v>
      </c>
      <c r="D125" s="76">
        <v>1986</v>
      </c>
      <c r="E125" s="75"/>
      <c r="F125" s="75"/>
      <c r="G125" s="75"/>
      <c r="H125" s="78">
        <v>99</v>
      </c>
      <c r="I125" s="78"/>
      <c r="J125" s="78">
        <v>24.2</v>
      </c>
      <c r="K125" s="78">
        <v>8</v>
      </c>
      <c r="L125" s="77"/>
      <c r="M125" s="75"/>
      <c r="N125" s="75"/>
      <c r="O125" s="75"/>
      <c r="P125" s="75">
        <f t="shared" ref="P125:P133" si="0">H125/J125</f>
        <v>4.0909090909090908</v>
      </c>
      <c r="Q125" s="75">
        <f t="shared" ref="Q125:Q133" si="1">J125/K125</f>
        <v>3.0249999999999999</v>
      </c>
      <c r="R125" s="75">
        <f t="shared" ref="R125:R133" si="2">H125/K125</f>
        <v>12.375</v>
      </c>
      <c r="S125" s="75"/>
      <c r="T125" s="78"/>
      <c r="U125" s="75">
        <v>15</v>
      </c>
      <c r="V125" s="75"/>
      <c r="W125" s="79"/>
    </row>
    <row r="126" spans="1:25" x14ac:dyDescent="0.3">
      <c r="A126" s="62" t="s">
        <v>591</v>
      </c>
      <c r="B126" s="47" t="s">
        <v>589</v>
      </c>
      <c r="C126" s="49" t="s">
        <v>590</v>
      </c>
      <c r="D126" s="50">
        <v>1987</v>
      </c>
      <c r="E126" s="49"/>
      <c r="F126" s="49"/>
      <c r="G126" s="49"/>
      <c r="H126" s="52">
        <v>99</v>
      </c>
      <c r="I126" s="52"/>
      <c r="J126" s="52">
        <v>24.2</v>
      </c>
      <c r="K126" s="52">
        <v>8</v>
      </c>
      <c r="L126" s="51"/>
      <c r="M126" s="49"/>
      <c r="N126" s="49"/>
      <c r="O126" s="49"/>
      <c r="P126" s="49">
        <f t="shared" si="0"/>
        <v>4.0909090909090908</v>
      </c>
      <c r="Q126" s="49">
        <f t="shared" si="1"/>
        <v>3.0249999999999999</v>
      </c>
      <c r="R126" s="49">
        <f t="shared" si="2"/>
        <v>12.375</v>
      </c>
      <c r="S126" s="49"/>
      <c r="T126" s="52"/>
      <c r="U126" s="49">
        <v>15</v>
      </c>
      <c r="V126" s="49"/>
      <c r="W126" s="63"/>
    </row>
    <row r="127" spans="1:25" x14ac:dyDescent="0.3">
      <c r="A127" s="62" t="s">
        <v>592</v>
      </c>
      <c r="B127" s="47" t="s">
        <v>589</v>
      </c>
      <c r="C127" s="49" t="s">
        <v>590</v>
      </c>
      <c r="D127" s="50">
        <v>1993</v>
      </c>
      <c r="E127" s="49"/>
      <c r="F127" s="49"/>
      <c r="G127" s="49"/>
      <c r="H127" s="52">
        <v>116</v>
      </c>
      <c r="I127" s="52"/>
      <c r="J127" s="52">
        <v>26</v>
      </c>
      <c r="K127" s="52">
        <v>8.4</v>
      </c>
      <c r="L127" s="51"/>
      <c r="M127" s="49"/>
      <c r="N127" s="49"/>
      <c r="O127" s="49"/>
      <c r="P127" s="49">
        <f t="shared" si="0"/>
        <v>4.4615384615384617</v>
      </c>
      <c r="Q127" s="49">
        <f t="shared" si="1"/>
        <v>3.0952380952380949</v>
      </c>
      <c r="R127" s="49">
        <f t="shared" si="2"/>
        <v>13.809523809523808</v>
      </c>
      <c r="S127" s="49"/>
      <c r="T127" s="52"/>
      <c r="U127" s="49">
        <v>15</v>
      </c>
      <c r="V127" s="49"/>
      <c r="W127" s="63"/>
    </row>
    <row r="128" spans="1:25" x14ac:dyDescent="0.3">
      <c r="A128" s="62" t="s">
        <v>593</v>
      </c>
      <c r="B128" s="47" t="s">
        <v>589</v>
      </c>
      <c r="C128" s="49" t="s">
        <v>590</v>
      </c>
      <c r="D128" s="50">
        <v>1994</v>
      </c>
      <c r="E128" s="49"/>
      <c r="F128" s="49"/>
      <c r="G128" s="49"/>
      <c r="H128" s="52">
        <v>116</v>
      </c>
      <c r="I128" s="52"/>
      <c r="J128" s="52">
        <v>26</v>
      </c>
      <c r="K128" s="52">
        <v>8.4</v>
      </c>
      <c r="L128" s="51"/>
      <c r="M128" s="49"/>
      <c r="N128" s="49"/>
      <c r="O128" s="49"/>
      <c r="P128" s="49">
        <f t="shared" si="0"/>
        <v>4.4615384615384617</v>
      </c>
      <c r="Q128" s="49">
        <f t="shared" si="1"/>
        <v>3.0952380952380949</v>
      </c>
      <c r="R128" s="49">
        <f t="shared" si="2"/>
        <v>13.809523809523808</v>
      </c>
      <c r="S128" s="49"/>
      <c r="T128" s="52"/>
      <c r="U128" s="49">
        <v>15</v>
      </c>
      <c r="V128" s="49"/>
      <c r="W128" s="63"/>
    </row>
    <row r="129" spans="1:25" x14ac:dyDescent="0.3">
      <c r="A129" s="62" t="s">
        <v>594</v>
      </c>
      <c r="B129" s="47" t="s">
        <v>589</v>
      </c>
      <c r="C129" s="49" t="s">
        <v>590</v>
      </c>
      <c r="D129" s="50">
        <v>2016</v>
      </c>
      <c r="E129" s="49"/>
      <c r="F129" s="49"/>
      <c r="G129" s="49"/>
      <c r="H129" s="52">
        <v>110</v>
      </c>
      <c r="I129" s="52"/>
      <c r="J129" s="52">
        <v>24</v>
      </c>
      <c r="K129" s="52">
        <v>8</v>
      </c>
      <c r="L129" s="51"/>
      <c r="M129" s="49"/>
      <c r="N129" s="49"/>
      <c r="O129" s="49"/>
      <c r="P129" s="49">
        <f t="shared" si="0"/>
        <v>4.583333333333333</v>
      </c>
      <c r="Q129" s="49">
        <f t="shared" si="1"/>
        <v>3</v>
      </c>
      <c r="R129" s="49">
        <f t="shared" si="2"/>
        <v>13.75</v>
      </c>
      <c r="S129" s="49"/>
      <c r="T129" s="52"/>
      <c r="U129" s="49">
        <v>19</v>
      </c>
      <c r="V129" s="49"/>
      <c r="W129" s="63"/>
    </row>
    <row r="130" spans="1:25" ht="28.8" x14ac:dyDescent="0.3">
      <c r="A130" s="62" t="s">
        <v>595</v>
      </c>
      <c r="B130" s="47" t="s">
        <v>596</v>
      </c>
      <c r="C130" s="49" t="s">
        <v>590</v>
      </c>
      <c r="D130" s="50">
        <v>1983</v>
      </c>
      <c r="E130" s="49"/>
      <c r="F130" s="49"/>
      <c r="G130" s="49"/>
      <c r="H130" s="52">
        <v>71.5</v>
      </c>
      <c r="I130" s="52"/>
      <c r="J130" s="52">
        <v>16</v>
      </c>
      <c r="K130" s="52">
        <v>6.3</v>
      </c>
      <c r="L130" s="51"/>
      <c r="M130" s="49"/>
      <c r="N130" s="49"/>
      <c r="O130" s="49"/>
      <c r="P130" s="49">
        <f t="shared" si="0"/>
        <v>4.46875</v>
      </c>
      <c r="Q130" s="49">
        <f t="shared" si="1"/>
        <v>2.5396825396825395</v>
      </c>
      <c r="R130" s="49">
        <f t="shared" si="2"/>
        <v>11.34920634920635</v>
      </c>
      <c r="S130" s="49"/>
      <c r="T130" s="52"/>
      <c r="U130" s="49">
        <v>8.1</v>
      </c>
      <c r="V130" s="49"/>
      <c r="W130" s="63"/>
    </row>
    <row r="131" spans="1:25" x14ac:dyDescent="0.3">
      <c r="A131" s="62" t="s">
        <v>597</v>
      </c>
      <c r="B131" s="47" t="s">
        <v>596</v>
      </c>
      <c r="C131" s="49" t="s">
        <v>590</v>
      </c>
      <c r="D131" s="50">
        <v>1995</v>
      </c>
      <c r="E131" s="49"/>
      <c r="F131" s="49"/>
      <c r="G131" s="49"/>
      <c r="H131" s="52">
        <v>45.1</v>
      </c>
      <c r="I131" s="52"/>
      <c r="J131" s="52">
        <v>14.6</v>
      </c>
      <c r="K131" s="52">
        <v>6.8</v>
      </c>
      <c r="L131" s="51"/>
      <c r="M131" s="49"/>
      <c r="N131" s="49"/>
      <c r="O131" s="49"/>
      <c r="P131" s="49">
        <f t="shared" si="0"/>
        <v>3.0890410958904111</v>
      </c>
      <c r="Q131" s="49">
        <f t="shared" si="1"/>
        <v>2.1470588235294117</v>
      </c>
      <c r="R131" s="49">
        <f t="shared" si="2"/>
        <v>6.632352941176471</v>
      </c>
      <c r="S131" s="49"/>
      <c r="T131" s="52"/>
      <c r="U131" s="49">
        <v>5.4</v>
      </c>
      <c r="V131" s="49"/>
      <c r="W131" s="63"/>
    </row>
    <row r="132" spans="1:25" x14ac:dyDescent="0.3">
      <c r="A132" s="62" t="s">
        <v>598</v>
      </c>
      <c r="B132" s="47" t="s">
        <v>599</v>
      </c>
      <c r="C132" s="49" t="s">
        <v>590</v>
      </c>
      <c r="D132" s="50">
        <v>2011</v>
      </c>
      <c r="E132" s="49"/>
      <c r="F132" s="49"/>
      <c r="G132" s="49"/>
      <c r="H132" s="52">
        <v>71.400000000000006</v>
      </c>
      <c r="I132" s="52"/>
      <c r="J132" s="52">
        <v>14.5</v>
      </c>
      <c r="K132" s="52">
        <v>5</v>
      </c>
      <c r="L132" s="51"/>
      <c r="M132" s="49"/>
      <c r="N132" s="49"/>
      <c r="O132" s="49"/>
      <c r="P132" s="49">
        <f t="shared" si="0"/>
        <v>4.9241379310344833</v>
      </c>
      <c r="Q132" s="49">
        <f t="shared" si="1"/>
        <v>2.9</v>
      </c>
      <c r="R132" s="49">
        <f t="shared" si="2"/>
        <v>14.280000000000001</v>
      </c>
      <c r="S132" s="49"/>
      <c r="T132" s="52"/>
      <c r="U132" s="49">
        <v>5.4</v>
      </c>
      <c r="V132" s="49"/>
      <c r="W132" s="63"/>
    </row>
    <row r="133" spans="1:25" x14ac:dyDescent="0.3">
      <c r="A133" s="62" t="s">
        <v>600</v>
      </c>
      <c r="B133" s="47"/>
      <c r="C133" s="49"/>
      <c r="D133" s="50">
        <v>2005</v>
      </c>
      <c r="E133" s="49">
        <v>99.9</v>
      </c>
      <c r="F133" s="49">
        <v>93.936000000000007</v>
      </c>
      <c r="G133" s="49">
        <v>86.05</v>
      </c>
      <c r="H133" s="52">
        <v>93.94</v>
      </c>
      <c r="I133" s="52">
        <v>11</v>
      </c>
      <c r="J133" s="52">
        <v>20.95</v>
      </c>
      <c r="K133" s="52">
        <v>7.5</v>
      </c>
      <c r="L133" s="51">
        <f>M133/1.025</f>
        <v>9736.5853658536598</v>
      </c>
      <c r="M133" s="49">
        <v>9980</v>
      </c>
      <c r="N133" s="49">
        <v>4298</v>
      </c>
      <c r="O133" s="49"/>
      <c r="P133" s="49">
        <f t="shared" si="0"/>
        <v>4.4840095465393794</v>
      </c>
      <c r="Q133" s="49">
        <f t="shared" si="1"/>
        <v>2.7933333333333334</v>
      </c>
      <c r="R133" s="49">
        <f t="shared" si="2"/>
        <v>12.525333333333332</v>
      </c>
      <c r="S133" s="49">
        <f>H133/I133</f>
        <v>8.5399999999999991</v>
      </c>
      <c r="T133" s="52">
        <f>IF(M133="","",L133/(H133*J133*K133))</f>
        <v>0.65964584214563471</v>
      </c>
      <c r="U133" s="49"/>
      <c r="V133" s="49"/>
      <c r="W133" s="63"/>
      <c r="X133" s="3" t="s">
        <v>601</v>
      </c>
    </row>
    <row r="134" spans="1:25" ht="15" customHeight="1" x14ac:dyDescent="0.3">
      <c r="A134" s="62" t="s">
        <v>602</v>
      </c>
      <c r="B134" s="47" t="s">
        <v>603</v>
      </c>
      <c r="C134" s="49"/>
      <c r="D134" s="50" t="s">
        <v>604</v>
      </c>
      <c r="E134" s="49"/>
      <c r="F134" s="49"/>
      <c r="G134" s="49"/>
      <c r="H134" s="52">
        <v>114</v>
      </c>
      <c r="I134" s="52"/>
      <c r="J134" s="52">
        <v>27.5</v>
      </c>
      <c r="K134" s="52">
        <v>8.5</v>
      </c>
      <c r="L134" s="51"/>
      <c r="M134" s="49"/>
      <c r="N134" s="49"/>
      <c r="O134" s="49"/>
      <c r="P134" s="49"/>
      <c r="Q134" s="49"/>
      <c r="R134" s="49"/>
      <c r="S134" s="49"/>
      <c r="T134" s="52"/>
      <c r="U134" s="49">
        <v>16</v>
      </c>
      <c r="V134" s="49"/>
      <c r="W134" s="63"/>
      <c r="X134" s="3" t="s">
        <v>605</v>
      </c>
    </row>
    <row r="135" spans="1:25" ht="15" customHeight="1" x14ac:dyDescent="0.3">
      <c r="A135" s="62" t="s">
        <v>606</v>
      </c>
      <c r="B135" s="47" t="s">
        <v>603</v>
      </c>
      <c r="C135" s="49"/>
      <c r="D135" s="50" t="s">
        <v>607</v>
      </c>
      <c r="E135" s="49"/>
      <c r="F135" s="49"/>
      <c r="G135" s="49"/>
      <c r="H135" s="52">
        <v>119.8</v>
      </c>
      <c r="I135" s="52"/>
      <c r="J135" s="52">
        <v>27.5</v>
      </c>
      <c r="K135" s="52">
        <v>8.5</v>
      </c>
      <c r="L135" s="51"/>
      <c r="M135" s="49"/>
      <c r="N135" s="49"/>
      <c r="O135" s="49"/>
      <c r="P135" s="49"/>
      <c r="Q135" s="49"/>
      <c r="R135" s="49"/>
      <c r="S135" s="49"/>
      <c r="T135" s="52"/>
      <c r="U135" s="49">
        <v>17.399999999999999</v>
      </c>
      <c r="V135" s="49"/>
      <c r="W135" s="63"/>
      <c r="X135" s="3"/>
    </row>
    <row r="136" spans="1:25" ht="15" customHeight="1" x14ac:dyDescent="0.3">
      <c r="A136" s="62" t="s">
        <v>608</v>
      </c>
      <c r="B136" s="47" t="s">
        <v>609</v>
      </c>
      <c r="C136" s="49"/>
      <c r="D136" s="50">
        <v>2007</v>
      </c>
      <c r="E136" s="49"/>
      <c r="F136" s="49"/>
      <c r="G136" s="49"/>
      <c r="H136" s="52">
        <v>159.6</v>
      </c>
      <c r="I136" s="52"/>
      <c r="J136" s="52">
        <v>28</v>
      </c>
      <c r="K136" s="52">
        <v>11</v>
      </c>
      <c r="L136" s="51"/>
      <c r="M136" s="49"/>
      <c r="N136" s="49"/>
      <c r="O136" s="49"/>
      <c r="P136" s="49"/>
      <c r="Q136" s="49"/>
      <c r="R136" s="49"/>
      <c r="S136" s="49"/>
      <c r="T136" s="52"/>
      <c r="U136" s="49">
        <v>54</v>
      </c>
      <c r="V136" s="49"/>
      <c r="W136" s="63"/>
      <c r="X136" s="3"/>
    </row>
    <row r="137" spans="1:25" ht="15" customHeight="1" x14ac:dyDescent="0.3">
      <c r="A137" s="62" t="s">
        <v>610</v>
      </c>
      <c r="B137" s="47" t="s">
        <v>603</v>
      </c>
      <c r="C137" s="49"/>
      <c r="D137" s="50" t="s">
        <v>611</v>
      </c>
      <c r="E137" s="49"/>
      <c r="F137" s="49"/>
      <c r="G137" s="49"/>
      <c r="H137" s="52">
        <v>146.80000000000001</v>
      </c>
      <c r="I137" s="52"/>
      <c r="J137" s="52">
        <v>28.5</v>
      </c>
      <c r="K137" s="52">
        <v>9.6999999999999993</v>
      </c>
      <c r="L137" s="51"/>
      <c r="M137" s="49"/>
      <c r="N137" s="49"/>
      <c r="O137" s="49"/>
      <c r="P137" s="49"/>
      <c r="Q137" s="49"/>
      <c r="R137" s="49"/>
      <c r="S137" s="49"/>
      <c r="T137" s="52"/>
      <c r="U137" s="49">
        <v>25</v>
      </c>
      <c r="V137" s="49"/>
      <c r="W137" s="63"/>
      <c r="X137" s="3" t="s">
        <v>612</v>
      </c>
    </row>
    <row r="138" spans="1:25" ht="15" customHeight="1" x14ac:dyDescent="0.3">
      <c r="A138" s="62"/>
      <c r="B138" s="47"/>
      <c r="C138" s="49"/>
      <c r="D138" s="50"/>
      <c r="E138" s="49"/>
      <c r="F138" s="49"/>
      <c r="G138" s="49"/>
      <c r="H138" s="52"/>
      <c r="I138" s="52"/>
      <c r="J138" s="52"/>
      <c r="K138" s="52"/>
      <c r="L138" s="51"/>
      <c r="M138" s="49"/>
      <c r="N138" s="49"/>
      <c r="O138" s="49"/>
      <c r="P138" s="49"/>
      <c r="Q138" s="49"/>
      <c r="R138" s="49"/>
      <c r="S138" s="49"/>
      <c r="T138" s="52"/>
      <c r="U138" s="49"/>
      <c r="V138" s="49"/>
      <c r="W138" s="63"/>
      <c r="X138" s="3" t="s">
        <v>613</v>
      </c>
    </row>
    <row r="139" spans="1:25" ht="15" customHeight="1" x14ac:dyDescent="0.3">
      <c r="A139" s="62" t="s">
        <v>614</v>
      </c>
      <c r="B139" s="47" t="s">
        <v>615</v>
      </c>
      <c r="C139" s="49"/>
      <c r="D139" s="50" t="s">
        <v>616</v>
      </c>
      <c r="E139" s="49"/>
      <c r="F139" s="49"/>
      <c r="G139" s="49"/>
      <c r="H139" s="52">
        <v>99.9</v>
      </c>
      <c r="I139" s="52"/>
      <c r="J139" s="52">
        <v>21.2</v>
      </c>
      <c r="K139" s="52">
        <v>7.9</v>
      </c>
      <c r="L139" s="51"/>
      <c r="M139" s="49"/>
      <c r="N139" s="49"/>
      <c r="O139" s="49"/>
      <c r="P139" s="49"/>
      <c r="Q139" s="49"/>
      <c r="R139" s="49"/>
      <c r="S139" s="49"/>
      <c r="T139" s="52"/>
      <c r="U139" s="49">
        <v>13</v>
      </c>
      <c r="V139" s="49"/>
      <c r="W139" s="63"/>
      <c r="X139" s="3" t="s">
        <v>617</v>
      </c>
    </row>
    <row r="140" spans="1:25" ht="15" customHeight="1" x14ac:dyDescent="0.3">
      <c r="A140" s="62" t="s">
        <v>618</v>
      </c>
      <c r="B140" s="47" t="s">
        <v>619</v>
      </c>
      <c r="C140" s="49"/>
      <c r="D140" s="50">
        <v>2014</v>
      </c>
      <c r="E140" s="49"/>
      <c r="F140" s="49"/>
      <c r="G140" s="49"/>
      <c r="H140" s="52">
        <v>76.400000000000006</v>
      </c>
      <c r="I140" s="52"/>
      <c r="J140" s="52">
        <v>20.5</v>
      </c>
      <c r="K140" s="52">
        <v>6.3</v>
      </c>
      <c r="L140" s="51"/>
      <c r="M140" s="49"/>
      <c r="N140" s="49"/>
      <c r="O140" s="49"/>
      <c r="P140" s="49"/>
      <c r="Q140" s="49"/>
      <c r="R140" s="49"/>
      <c r="S140" s="49"/>
      <c r="T140" s="52"/>
      <c r="U140" s="49">
        <v>7.5</v>
      </c>
      <c r="V140" s="49"/>
      <c r="W140" s="63"/>
      <c r="X140" s="3" t="s">
        <v>617</v>
      </c>
    </row>
    <row r="141" spans="1:25" ht="15" customHeight="1" x14ac:dyDescent="0.3">
      <c r="A141" s="62" t="s">
        <v>620</v>
      </c>
      <c r="B141" s="47" t="s">
        <v>621</v>
      </c>
      <c r="C141" s="49" t="s">
        <v>622</v>
      </c>
      <c r="D141" s="50">
        <v>2006</v>
      </c>
      <c r="E141" s="49"/>
      <c r="F141" s="49">
        <v>73.2</v>
      </c>
      <c r="G141" s="49"/>
      <c r="H141" s="49">
        <f t="shared" ref="H141:H190" si="3">IF(F141="",G141,F141)</f>
        <v>73.2</v>
      </c>
      <c r="I141" s="49"/>
      <c r="J141" s="49">
        <v>17.7</v>
      </c>
      <c r="K141" s="49">
        <v>4.9000000000000004</v>
      </c>
      <c r="L141" s="51">
        <f t="shared" ref="L141:L177" si="4">M141/1.025</f>
        <v>3414.6341463414637</v>
      </c>
      <c r="M141" s="49">
        <v>3500</v>
      </c>
      <c r="N141" s="49"/>
      <c r="O141" s="49">
        <v>66</v>
      </c>
      <c r="P141" s="49">
        <f t="shared" ref="P141:P190" si="5">H141/J141</f>
        <v>4.1355932203389836</v>
      </c>
      <c r="Q141" s="49">
        <f t="shared" ref="Q141:Q190" si="6">J141/K141</f>
        <v>3.6122448979591835</v>
      </c>
      <c r="R141" s="49">
        <f t="shared" ref="R141:R190" si="7">H141/K141</f>
        <v>14.938775510204081</v>
      </c>
      <c r="S141" s="49"/>
      <c r="T141" s="52">
        <f t="shared" ref="T141:T177" si="8">IF(M141="","",L141/(H141*J141*K141))</f>
        <v>0.53785319340114368</v>
      </c>
      <c r="U141" s="49">
        <v>6.7</v>
      </c>
      <c r="V141" s="49"/>
      <c r="W141" s="63"/>
      <c r="X141" s="3"/>
      <c r="Y141">
        <f t="shared" ref="Y141:Y189" si="9">H141/(H141*J141*K141*T141)^(1/3)</f>
        <v>4.8610455215737822</v>
      </c>
    </row>
    <row r="142" spans="1:25" ht="15" customHeight="1" x14ac:dyDescent="0.3">
      <c r="A142" s="62" t="s">
        <v>623</v>
      </c>
      <c r="B142" s="47" t="s">
        <v>624</v>
      </c>
      <c r="C142" s="49" t="s">
        <v>625</v>
      </c>
      <c r="D142" s="50">
        <v>2006</v>
      </c>
      <c r="E142" s="49">
        <v>114</v>
      </c>
      <c r="F142" s="49">
        <v>103.68</v>
      </c>
      <c r="G142" s="49">
        <v>103.68</v>
      </c>
      <c r="H142" s="49">
        <f t="shared" si="3"/>
        <v>103.68</v>
      </c>
      <c r="I142" s="49">
        <v>12.4</v>
      </c>
      <c r="J142" s="49">
        <v>28.02</v>
      </c>
      <c r="K142" s="49">
        <v>8.5</v>
      </c>
      <c r="L142" s="51">
        <f t="shared" si="4"/>
        <v>13951.219512195123</v>
      </c>
      <c r="M142" s="49">
        <v>14300</v>
      </c>
      <c r="N142" s="49">
        <v>7243</v>
      </c>
      <c r="O142" s="49"/>
      <c r="P142" s="49">
        <f t="shared" si="5"/>
        <v>3.700214132762313</v>
      </c>
      <c r="Q142" s="49">
        <f t="shared" si="6"/>
        <v>3.296470588235294</v>
      </c>
      <c r="R142" s="49">
        <f t="shared" si="7"/>
        <v>12.197647058823531</v>
      </c>
      <c r="S142" s="49">
        <f t="shared" ref="S142:S146" si="10">H142/I142</f>
        <v>8.3612903225806452</v>
      </c>
      <c r="T142" s="52">
        <f t="shared" si="8"/>
        <v>0.56497616568632325</v>
      </c>
      <c r="U142" s="49">
        <v>16.399999999999999</v>
      </c>
      <c r="V142" s="49">
        <v>16</v>
      </c>
      <c r="W142" s="63">
        <f t="shared" ref="W142:W190" si="11">0.514*V142/(9.81*H142)^0.5</f>
        <v>0.25787016829629522</v>
      </c>
      <c r="X142" s="3" t="s">
        <v>626</v>
      </c>
      <c r="Y142">
        <f t="shared" si="9"/>
        <v>4.3068286938289999</v>
      </c>
    </row>
    <row r="143" spans="1:25" ht="15" customHeight="1" x14ac:dyDescent="0.3">
      <c r="A143" s="62" t="s">
        <v>627</v>
      </c>
      <c r="B143" s="47" t="s">
        <v>628</v>
      </c>
      <c r="C143" s="49" t="s">
        <v>625</v>
      </c>
      <c r="D143" s="50">
        <v>2006</v>
      </c>
      <c r="E143" s="49">
        <v>74.36</v>
      </c>
      <c r="F143" s="49">
        <v>64.45</v>
      </c>
      <c r="G143" s="49"/>
      <c r="H143" s="49">
        <f t="shared" si="3"/>
        <v>64.45</v>
      </c>
      <c r="I143" s="49">
        <v>8</v>
      </c>
      <c r="J143" s="49">
        <v>17</v>
      </c>
      <c r="K143" s="49">
        <v>6.5</v>
      </c>
      <c r="L143" s="51">
        <f t="shared" si="4"/>
        <v>4454.6341463414637</v>
      </c>
      <c r="M143" s="49">
        <v>4566</v>
      </c>
      <c r="N143" s="49">
        <v>1323</v>
      </c>
      <c r="O143" s="49">
        <v>115</v>
      </c>
      <c r="P143" s="49">
        <f t="shared" si="5"/>
        <v>3.7911764705882356</v>
      </c>
      <c r="Q143" s="49">
        <f t="shared" si="6"/>
        <v>2.6153846153846154</v>
      </c>
      <c r="R143" s="49">
        <f t="shared" si="7"/>
        <v>9.9153846153846157</v>
      </c>
      <c r="S143" s="49">
        <f t="shared" si="10"/>
        <v>8.0562500000000004</v>
      </c>
      <c r="T143" s="52">
        <f t="shared" si="8"/>
        <v>0.62549932022669552</v>
      </c>
      <c r="U143" s="49">
        <v>10</v>
      </c>
      <c r="V143" s="49"/>
      <c r="W143" s="63"/>
      <c r="X143" s="3" t="s">
        <v>626</v>
      </c>
      <c r="Y143">
        <f t="shared" si="9"/>
        <v>3.9169880004261546</v>
      </c>
    </row>
    <row r="144" spans="1:25" ht="15" customHeight="1" x14ac:dyDescent="0.3">
      <c r="A144" s="62" t="s">
        <v>629</v>
      </c>
      <c r="B144" s="47" t="s">
        <v>630</v>
      </c>
      <c r="C144" s="49" t="s">
        <v>625</v>
      </c>
      <c r="D144" s="50">
        <v>2006</v>
      </c>
      <c r="E144" s="49">
        <v>99.3</v>
      </c>
      <c r="F144" s="49">
        <v>84.4</v>
      </c>
      <c r="G144" s="49">
        <v>84.4</v>
      </c>
      <c r="H144" s="49">
        <f t="shared" si="3"/>
        <v>84.4</v>
      </c>
      <c r="I144" s="49">
        <v>10.5</v>
      </c>
      <c r="J144" s="49">
        <v>19</v>
      </c>
      <c r="K144" s="49">
        <v>8</v>
      </c>
      <c r="L144" s="51">
        <f t="shared" si="4"/>
        <v>9436.0975609756097</v>
      </c>
      <c r="M144" s="49">
        <v>9672</v>
      </c>
      <c r="N144" s="49">
        <v>3949</v>
      </c>
      <c r="O144" s="49">
        <v>163</v>
      </c>
      <c r="P144" s="49">
        <f t="shared" si="5"/>
        <v>4.4421052631578952</v>
      </c>
      <c r="Q144" s="49">
        <f t="shared" si="6"/>
        <v>2.375</v>
      </c>
      <c r="R144" s="49">
        <f t="shared" si="7"/>
        <v>10.55</v>
      </c>
      <c r="S144" s="49">
        <f t="shared" si="10"/>
        <v>8.038095238095238</v>
      </c>
      <c r="T144" s="52">
        <f t="shared" si="8"/>
        <v>0.73554015659887195</v>
      </c>
      <c r="U144" s="49">
        <v>15</v>
      </c>
      <c r="V144" s="49">
        <v>15</v>
      </c>
      <c r="W144" s="63">
        <f t="shared" si="11"/>
        <v>0.26794684705811467</v>
      </c>
      <c r="X144" s="3"/>
      <c r="Y144">
        <f t="shared" si="9"/>
        <v>3.9940329108561619</v>
      </c>
    </row>
    <row r="145" spans="1:29" ht="15" customHeight="1" x14ac:dyDescent="0.3">
      <c r="A145" s="62" t="s">
        <v>631</v>
      </c>
      <c r="B145" s="47" t="s">
        <v>630</v>
      </c>
      <c r="C145" s="49" t="s">
        <v>625</v>
      </c>
      <c r="D145" s="50">
        <v>2006</v>
      </c>
      <c r="E145" s="49">
        <v>99.3</v>
      </c>
      <c r="F145" s="49">
        <v>84.4</v>
      </c>
      <c r="G145" s="49">
        <v>84.4</v>
      </c>
      <c r="H145" s="49">
        <f t="shared" si="3"/>
        <v>84.4</v>
      </c>
      <c r="I145" s="49">
        <v>10.5</v>
      </c>
      <c r="J145" s="49">
        <v>19</v>
      </c>
      <c r="K145" s="49">
        <v>8</v>
      </c>
      <c r="L145" s="51">
        <f t="shared" si="4"/>
        <v>9436.0975609756097</v>
      </c>
      <c r="M145" s="49">
        <v>9672</v>
      </c>
      <c r="N145" s="49">
        <v>3949</v>
      </c>
      <c r="O145" s="49">
        <v>163</v>
      </c>
      <c r="P145" s="49">
        <f t="shared" si="5"/>
        <v>4.4421052631578952</v>
      </c>
      <c r="Q145" s="49">
        <f t="shared" si="6"/>
        <v>2.375</v>
      </c>
      <c r="R145" s="49">
        <f t="shared" si="7"/>
        <v>10.55</v>
      </c>
      <c r="S145" s="49">
        <f t="shared" si="10"/>
        <v>8.038095238095238</v>
      </c>
      <c r="T145" s="52">
        <f t="shared" si="8"/>
        <v>0.73554015659887195</v>
      </c>
      <c r="U145" s="49">
        <v>15</v>
      </c>
      <c r="V145" s="49">
        <v>15</v>
      </c>
      <c r="W145" s="63">
        <f t="shared" si="11"/>
        <v>0.26794684705811467</v>
      </c>
      <c r="X145" s="3"/>
      <c r="Y145">
        <f t="shared" si="9"/>
        <v>3.9940329108561619</v>
      </c>
    </row>
    <row r="146" spans="1:29" ht="15" customHeight="1" x14ac:dyDescent="0.3">
      <c r="A146" s="62" t="s">
        <v>632</v>
      </c>
      <c r="B146" s="47" t="s">
        <v>633</v>
      </c>
      <c r="C146" s="49" t="s">
        <v>625</v>
      </c>
      <c r="D146" s="50">
        <v>2005</v>
      </c>
      <c r="E146" s="49">
        <v>99.94</v>
      </c>
      <c r="F146" s="49">
        <v>93.5</v>
      </c>
      <c r="G146" s="49">
        <v>93.4</v>
      </c>
      <c r="H146" s="49">
        <f t="shared" si="3"/>
        <v>93.5</v>
      </c>
      <c r="I146" s="49">
        <v>11</v>
      </c>
      <c r="J146" s="49">
        <v>21.2</v>
      </c>
      <c r="K146" s="49">
        <v>7.5</v>
      </c>
      <c r="L146" s="51">
        <f t="shared" si="4"/>
        <v>9736.5853658536598</v>
      </c>
      <c r="M146" s="49">
        <v>9980</v>
      </c>
      <c r="N146" s="49">
        <v>4298</v>
      </c>
      <c r="O146" s="49">
        <v>150</v>
      </c>
      <c r="P146" s="49">
        <f t="shared" si="5"/>
        <v>4.4103773584905666</v>
      </c>
      <c r="Q146" s="49">
        <f t="shared" si="6"/>
        <v>2.8266666666666667</v>
      </c>
      <c r="R146" s="49">
        <f t="shared" si="7"/>
        <v>12.466666666666667</v>
      </c>
      <c r="S146" s="49">
        <f t="shared" si="10"/>
        <v>8.5</v>
      </c>
      <c r="T146" s="52">
        <f t="shared" si="8"/>
        <v>0.65493460907770218</v>
      </c>
      <c r="U146" s="49">
        <v>13</v>
      </c>
      <c r="V146" s="49">
        <v>15</v>
      </c>
      <c r="W146" s="63">
        <f t="shared" si="11"/>
        <v>0.25457401315813899</v>
      </c>
      <c r="X146" s="3" t="s">
        <v>634</v>
      </c>
      <c r="Y146">
        <f t="shared" si="9"/>
        <v>4.3786750737773499</v>
      </c>
    </row>
    <row r="147" spans="1:29" ht="15" customHeight="1" x14ac:dyDescent="0.3">
      <c r="A147" s="62" t="s">
        <v>635</v>
      </c>
      <c r="B147" s="47" t="s">
        <v>636</v>
      </c>
      <c r="C147" s="49" t="s">
        <v>637</v>
      </c>
      <c r="D147" s="50">
        <v>2005</v>
      </c>
      <c r="E147" s="49">
        <v>94.8</v>
      </c>
      <c r="F147" s="49">
        <v>88.2</v>
      </c>
      <c r="G147" s="49"/>
      <c r="H147" s="49">
        <f t="shared" si="3"/>
        <v>88.2</v>
      </c>
      <c r="I147" s="49"/>
      <c r="J147" s="49">
        <v>19.2</v>
      </c>
      <c r="K147" s="49">
        <v>6.5</v>
      </c>
      <c r="L147" s="51">
        <f t="shared" si="4"/>
        <v>0</v>
      </c>
      <c r="M147" s="49"/>
      <c r="N147" s="49"/>
      <c r="O147" s="49"/>
      <c r="P147" s="49">
        <f t="shared" si="5"/>
        <v>4.59375</v>
      </c>
      <c r="Q147" s="49">
        <f t="shared" si="6"/>
        <v>2.9538461538461536</v>
      </c>
      <c r="R147" s="49">
        <f t="shared" si="7"/>
        <v>13.569230769230769</v>
      </c>
      <c r="S147" s="49"/>
      <c r="T147" s="52" t="str">
        <f t="shared" si="8"/>
        <v/>
      </c>
      <c r="U147" s="49">
        <v>3.8</v>
      </c>
      <c r="V147" s="49">
        <v>15</v>
      </c>
      <c r="W147" s="63">
        <f t="shared" si="11"/>
        <v>0.26211120185161113</v>
      </c>
      <c r="X147" s="3"/>
    </row>
    <row r="148" spans="1:29" ht="15" customHeight="1" x14ac:dyDescent="0.3">
      <c r="A148" s="62" t="s">
        <v>638</v>
      </c>
      <c r="B148" s="47" t="s">
        <v>639</v>
      </c>
      <c r="C148" s="49" t="s">
        <v>640</v>
      </c>
      <c r="D148" s="50">
        <v>2001</v>
      </c>
      <c r="E148" s="49">
        <v>103.7</v>
      </c>
      <c r="F148" s="49">
        <v>89</v>
      </c>
      <c r="G148" s="49"/>
      <c r="H148" s="49">
        <f t="shared" si="3"/>
        <v>89</v>
      </c>
      <c r="I148" s="49">
        <v>8.3000000000000007</v>
      </c>
      <c r="J148" s="49">
        <v>19.100000000000001</v>
      </c>
      <c r="K148" s="49">
        <v>6.5</v>
      </c>
      <c r="L148" s="51">
        <f t="shared" si="4"/>
        <v>6219.5121951219517</v>
      </c>
      <c r="M148" s="49">
        <v>6375</v>
      </c>
      <c r="N148" s="49"/>
      <c r="O148" s="49"/>
      <c r="P148" s="49">
        <f t="shared" si="5"/>
        <v>4.659685863874345</v>
      </c>
      <c r="Q148" s="49">
        <f t="shared" si="6"/>
        <v>2.9384615384615387</v>
      </c>
      <c r="R148" s="49">
        <f t="shared" si="7"/>
        <v>13.692307692307692</v>
      </c>
      <c r="S148" s="49">
        <f>H148/I148</f>
        <v>10.722891566265059</v>
      </c>
      <c r="T148" s="52">
        <f t="shared" si="8"/>
        <v>0.56288489324005042</v>
      </c>
      <c r="U148" s="49">
        <v>10</v>
      </c>
      <c r="V148" s="49">
        <v>17.5</v>
      </c>
      <c r="W148" s="63">
        <f t="shared" si="11"/>
        <v>0.30441893388601149</v>
      </c>
      <c r="X148" s="3" t="s">
        <v>613</v>
      </c>
      <c r="Y148">
        <f t="shared" si="9"/>
        <v>4.8395453672006417</v>
      </c>
    </row>
    <row r="149" spans="1:29" ht="15" customHeight="1" x14ac:dyDescent="0.3">
      <c r="A149" s="62" t="s">
        <v>641</v>
      </c>
      <c r="B149" s="47" t="s">
        <v>642</v>
      </c>
      <c r="C149" s="49" t="s">
        <v>643</v>
      </c>
      <c r="D149" s="50">
        <v>2001</v>
      </c>
      <c r="E149" s="49">
        <v>83.7</v>
      </c>
      <c r="F149" s="49">
        <v>75.2</v>
      </c>
      <c r="G149" s="49"/>
      <c r="H149" s="49">
        <f t="shared" si="3"/>
        <v>75.2</v>
      </c>
      <c r="I149" s="49">
        <v>8.5</v>
      </c>
      <c r="J149" s="49">
        <v>18</v>
      </c>
      <c r="K149" s="49">
        <v>7.2</v>
      </c>
      <c r="L149" s="51">
        <f t="shared" si="4"/>
        <v>6829.2682926829275</v>
      </c>
      <c r="M149" s="49">
        <v>7000</v>
      </c>
      <c r="N149" s="49">
        <v>3000</v>
      </c>
      <c r="O149" s="49">
        <v>200</v>
      </c>
      <c r="P149" s="49">
        <f t="shared" si="5"/>
        <v>4.177777777777778</v>
      </c>
      <c r="Q149" s="49">
        <f t="shared" si="6"/>
        <v>2.5</v>
      </c>
      <c r="R149" s="49">
        <f t="shared" si="7"/>
        <v>10.444444444444445</v>
      </c>
      <c r="S149" s="49">
        <f>H149/I149</f>
        <v>8.8470588235294123</v>
      </c>
      <c r="T149" s="52">
        <f t="shared" si="8"/>
        <v>0.70073100258189336</v>
      </c>
      <c r="U149" s="49">
        <v>13.4</v>
      </c>
      <c r="V149" s="49">
        <v>16</v>
      </c>
      <c r="W149" s="63">
        <f t="shared" si="11"/>
        <v>0.30278870996884039</v>
      </c>
      <c r="X149" s="3"/>
      <c r="Y149">
        <f t="shared" si="9"/>
        <v>3.9636300809479978</v>
      </c>
    </row>
    <row r="150" spans="1:29" ht="15" customHeight="1" x14ac:dyDescent="0.3">
      <c r="A150" s="62" t="s">
        <v>644</v>
      </c>
      <c r="B150" s="47" t="s">
        <v>642</v>
      </c>
      <c r="C150" s="49" t="s">
        <v>643</v>
      </c>
      <c r="D150" s="50">
        <v>2000</v>
      </c>
      <c r="E150" s="49">
        <v>83.7</v>
      </c>
      <c r="F150" s="49">
        <v>75.2</v>
      </c>
      <c r="G150" s="49"/>
      <c r="H150" s="49">
        <f t="shared" si="3"/>
        <v>75.2</v>
      </c>
      <c r="I150" s="49">
        <v>8.5</v>
      </c>
      <c r="J150" s="49">
        <v>18</v>
      </c>
      <c r="K150" s="49">
        <v>7.2</v>
      </c>
      <c r="L150" s="51">
        <f t="shared" si="4"/>
        <v>6829.2682926829275</v>
      </c>
      <c r="M150" s="49">
        <v>7000</v>
      </c>
      <c r="N150" s="49">
        <v>3000</v>
      </c>
      <c r="O150" s="49">
        <v>200</v>
      </c>
      <c r="P150" s="49">
        <f t="shared" si="5"/>
        <v>4.177777777777778</v>
      </c>
      <c r="Q150" s="49">
        <f t="shared" si="6"/>
        <v>2.5</v>
      </c>
      <c r="R150" s="49">
        <f t="shared" si="7"/>
        <v>10.444444444444445</v>
      </c>
      <c r="S150" s="49">
        <f>H150/I150</f>
        <v>8.8470588235294123</v>
      </c>
      <c r="T150" s="52">
        <f t="shared" si="8"/>
        <v>0.70073100258189336</v>
      </c>
      <c r="U150" s="49">
        <v>13.4</v>
      </c>
      <c r="V150" s="49">
        <v>16</v>
      </c>
      <c r="W150" s="63">
        <f t="shared" si="11"/>
        <v>0.30278870996884039</v>
      </c>
      <c r="X150" s="3"/>
      <c r="Y150">
        <f t="shared" si="9"/>
        <v>3.9636300809479978</v>
      </c>
    </row>
    <row r="151" spans="1:29" ht="15" customHeight="1" x14ac:dyDescent="0.3">
      <c r="A151" s="62" t="s">
        <v>645</v>
      </c>
      <c r="B151" s="47" t="s">
        <v>642</v>
      </c>
      <c r="C151" s="49" t="s">
        <v>643</v>
      </c>
      <c r="D151" s="50">
        <v>2000</v>
      </c>
      <c r="E151" s="49">
        <v>83.7</v>
      </c>
      <c r="F151" s="49">
        <v>75.2</v>
      </c>
      <c r="G151" s="49"/>
      <c r="H151" s="49">
        <f t="shared" si="3"/>
        <v>75.2</v>
      </c>
      <c r="I151" s="49">
        <v>8.5</v>
      </c>
      <c r="J151" s="49">
        <v>18</v>
      </c>
      <c r="K151" s="49">
        <v>7.2</v>
      </c>
      <c r="L151" s="51">
        <f t="shared" si="4"/>
        <v>6829.2682926829275</v>
      </c>
      <c r="M151" s="49">
        <v>7000</v>
      </c>
      <c r="N151" s="49">
        <v>3000</v>
      </c>
      <c r="O151" s="49">
        <v>200</v>
      </c>
      <c r="P151" s="49">
        <f t="shared" si="5"/>
        <v>4.177777777777778</v>
      </c>
      <c r="Q151" s="49">
        <f t="shared" si="6"/>
        <v>2.5</v>
      </c>
      <c r="R151" s="49">
        <f t="shared" si="7"/>
        <v>10.444444444444445</v>
      </c>
      <c r="S151" s="49">
        <f>H151/I151</f>
        <v>8.8470588235294123</v>
      </c>
      <c r="T151" s="52">
        <f t="shared" si="8"/>
        <v>0.70073100258189336</v>
      </c>
      <c r="U151" s="49">
        <v>13.4</v>
      </c>
      <c r="V151" s="49">
        <v>16</v>
      </c>
      <c r="W151" s="63">
        <f t="shared" si="11"/>
        <v>0.30278870996884039</v>
      </c>
      <c r="X151" s="3"/>
      <c r="Y151">
        <f t="shared" si="9"/>
        <v>3.9636300809479978</v>
      </c>
    </row>
    <row r="152" spans="1:29" ht="15" customHeight="1" x14ac:dyDescent="0.3">
      <c r="A152" s="62" t="s">
        <v>646</v>
      </c>
      <c r="B152" s="47" t="s">
        <v>621</v>
      </c>
      <c r="C152" s="49" t="s">
        <v>622</v>
      </c>
      <c r="D152" s="50">
        <v>1999</v>
      </c>
      <c r="E152" s="49">
        <v>130</v>
      </c>
      <c r="F152" s="49">
        <v>120.9</v>
      </c>
      <c r="G152" s="49"/>
      <c r="H152" s="49">
        <f t="shared" si="3"/>
        <v>120.9</v>
      </c>
      <c r="I152" s="49"/>
      <c r="J152" s="49">
        <v>24.4</v>
      </c>
      <c r="K152" s="49">
        <v>8.5</v>
      </c>
      <c r="L152" s="51">
        <f t="shared" si="4"/>
        <v>15609.756097560978</v>
      </c>
      <c r="M152" s="49">
        <v>16000</v>
      </c>
      <c r="N152" s="49"/>
      <c r="O152" s="49">
        <v>204</v>
      </c>
      <c r="P152" s="49">
        <f t="shared" si="5"/>
        <v>4.9549180327868854</v>
      </c>
      <c r="Q152" s="49">
        <f t="shared" si="6"/>
        <v>2.8705882352941177</v>
      </c>
      <c r="R152" s="49">
        <f t="shared" si="7"/>
        <v>14.223529411764707</v>
      </c>
      <c r="S152" s="49"/>
      <c r="T152" s="52">
        <f t="shared" si="8"/>
        <v>0.62253111697470587</v>
      </c>
      <c r="U152" s="49">
        <v>22.4</v>
      </c>
      <c r="V152" s="49">
        <v>17</v>
      </c>
      <c r="W152" s="63">
        <f t="shared" si="11"/>
        <v>0.25372565729512497</v>
      </c>
      <c r="X152" s="3"/>
      <c r="Y152">
        <f t="shared" si="9"/>
        <v>4.8375737065868369</v>
      </c>
    </row>
    <row r="153" spans="1:29" ht="15" customHeight="1" x14ac:dyDescent="0.3">
      <c r="A153" s="62" t="s">
        <v>647</v>
      </c>
      <c r="B153" s="47" t="s">
        <v>648</v>
      </c>
      <c r="C153" s="49" t="s">
        <v>590</v>
      </c>
      <c r="D153" s="50">
        <v>1998</v>
      </c>
      <c r="E153" s="49">
        <v>97.3</v>
      </c>
      <c r="F153" s="49">
        <v>77.900000000000006</v>
      </c>
      <c r="G153" s="49"/>
      <c r="H153" s="49">
        <f t="shared" si="3"/>
        <v>77.900000000000006</v>
      </c>
      <c r="I153" s="49">
        <v>11.7</v>
      </c>
      <c r="J153" s="49">
        <v>23.1</v>
      </c>
      <c r="K153" s="49">
        <v>7.2</v>
      </c>
      <c r="L153" s="51">
        <f t="shared" si="4"/>
        <v>8517.0731707317082</v>
      </c>
      <c r="M153" s="49">
        <v>8730</v>
      </c>
      <c r="N153" s="49">
        <v>2850</v>
      </c>
      <c r="O153" s="49">
        <v>117</v>
      </c>
      <c r="P153" s="49">
        <f t="shared" si="5"/>
        <v>3.3722943722943723</v>
      </c>
      <c r="Q153" s="49">
        <f t="shared" si="6"/>
        <v>3.2083333333333335</v>
      </c>
      <c r="R153" s="49">
        <f t="shared" si="7"/>
        <v>10.819444444444445</v>
      </c>
      <c r="S153" s="49">
        <f>H153/I153</f>
        <v>6.6581196581196593</v>
      </c>
      <c r="T153" s="52">
        <f t="shared" si="8"/>
        <v>0.65736782603309418</v>
      </c>
      <c r="U153" s="49">
        <v>10</v>
      </c>
      <c r="V153" s="49">
        <v>16.5</v>
      </c>
      <c r="W153" s="63">
        <f t="shared" si="11"/>
        <v>0.30679185875326648</v>
      </c>
      <c r="X153" s="3" t="s">
        <v>613</v>
      </c>
      <c r="Y153">
        <f t="shared" si="9"/>
        <v>3.8145267508547507</v>
      </c>
    </row>
    <row r="154" spans="1:29" ht="15" customHeight="1" x14ac:dyDescent="0.3">
      <c r="A154" s="62" t="s">
        <v>649</v>
      </c>
      <c r="B154" s="47" t="s">
        <v>650</v>
      </c>
      <c r="C154" s="49" t="s">
        <v>637</v>
      </c>
      <c r="D154" s="50">
        <v>1998</v>
      </c>
      <c r="E154" s="49"/>
      <c r="F154" s="49">
        <v>78.900000000000006</v>
      </c>
      <c r="G154" s="49"/>
      <c r="H154" s="49">
        <f t="shared" si="3"/>
        <v>78.900000000000006</v>
      </c>
      <c r="I154" s="49"/>
      <c r="J154" s="49">
        <v>18.600000000000001</v>
      </c>
      <c r="K154" s="49">
        <v>5.8</v>
      </c>
      <c r="L154" s="51">
        <f t="shared" si="4"/>
        <v>0</v>
      </c>
      <c r="M154" s="49"/>
      <c r="N154" s="49"/>
      <c r="O154" s="49">
        <v>115</v>
      </c>
      <c r="P154" s="49">
        <f t="shared" si="5"/>
        <v>4.241935483870968</v>
      </c>
      <c r="Q154" s="49">
        <f t="shared" si="6"/>
        <v>3.2068965517241383</v>
      </c>
      <c r="R154" s="49">
        <f t="shared" si="7"/>
        <v>13.603448275862071</v>
      </c>
      <c r="S154" s="49"/>
      <c r="T154" s="52" t="str">
        <f t="shared" si="8"/>
        <v/>
      </c>
      <c r="U154" s="49">
        <v>5.8</v>
      </c>
      <c r="V154" s="49"/>
      <c r="W154" s="63"/>
      <c r="X154" s="3" t="s">
        <v>626</v>
      </c>
    </row>
    <row r="155" spans="1:29" ht="15" customHeight="1" x14ac:dyDescent="0.3">
      <c r="A155" s="62" t="s">
        <v>651</v>
      </c>
      <c r="B155" s="47" t="s">
        <v>624</v>
      </c>
      <c r="C155" s="49" t="s">
        <v>625</v>
      </c>
      <c r="D155" s="50">
        <v>1997</v>
      </c>
      <c r="E155" s="49">
        <v>141.44</v>
      </c>
      <c r="F155" s="49">
        <v>130.19999999999999</v>
      </c>
      <c r="G155" s="49">
        <v>126.43</v>
      </c>
      <c r="H155" s="49">
        <f t="shared" si="3"/>
        <v>130.19999999999999</v>
      </c>
      <c r="I155" s="49">
        <v>12.3</v>
      </c>
      <c r="J155" s="49">
        <v>30.5</v>
      </c>
      <c r="K155" s="49">
        <v>8.5</v>
      </c>
      <c r="L155" s="51">
        <f t="shared" si="4"/>
        <v>16859.512195121952</v>
      </c>
      <c r="M155" s="49">
        <v>17281</v>
      </c>
      <c r="N155" s="49">
        <v>5138</v>
      </c>
      <c r="O155" s="49">
        <v>181</v>
      </c>
      <c r="P155" s="49">
        <f t="shared" si="5"/>
        <v>4.2688524590163928</v>
      </c>
      <c r="Q155" s="49">
        <f t="shared" si="6"/>
        <v>3.5882352941176472</v>
      </c>
      <c r="R155" s="49">
        <f t="shared" si="7"/>
        <v>15.317647058823528</v>
      </c>
      <c r="S155" s="49">
        <f t="shared" ref="S155:S163" si="12">H155/I155</f>
        <v>10.585365853658535</v>
      </c>
      <c r="T155" s="52">
        <f t="shared" si="8"/>
        <v>0.49947672507756635</v>
      </c>
      <c r="U155" s="49">
        <v>16.2</v>
      </c>
      <c r="V155" s="49">
        <v>19</v>
      </c>
      <c r="W155" s="63">
        <f t="shared" si="11"/>
        <v>0.2732604153651873</v>
      </c>
      <c r="X155" s="3" t="s">
        <v>652</v>
      </c>
      <c r="Y155">
        <f t="shared" si="9"/>
        <v>5.0776486839734707</v>
      </c>
    </row>
    <row r="156" spans="1:29" ht="15" customHeight="1" x14ac:dyDescent="0.3">
      <c r="A156" s="64" t="s">
        <v>593</v>
      </c>
      <c r="B156" s="47" t="s">
        <v>648</v>
      </c>
      <c r="C156" s="49" t="s">
        <v>590</v>
      </c>
      <c r="D156" s="50">
        <v>1994</v>
      </c>
      <c r="E156" s="49">
        <v>116</v>
      </c>
      <c r="F156" s="49">
        <v>96.7</v>
      </c>
      <c r="G156" s="49"/>
      <c r="H156" s="49">
        <f t="shared" si="3"/>
        <v>96.7</v>
      </c>
      <c r="I156" s="49">
        <v>12.5</v>
      </c>
      <c r="J156" s="49">
        <v>25.2</v>
      </c>
      <c r="K156" s="49">
        <v>8.4</v>
      </c>
      <c r="L156" s="51">
        <f t="shared" si="4"/>
        <v>12487.804878048781</v>
      </c>
      <c r="M156" s="49">
        <v>12800</v>
      </c>
      <c r="N156" s="49">
        <v>4800</v>
      </c>
      <c r="O156" s="49">
        <v>234</v>
      </c>
      <c r="P156" s="49">
        <f t="shared" si="5"/>
        <v>3.8373015873015874</v>
      </c>
      <c r="Q156" s="49">
        <f t="shared" si="6"/>
        <v>3</v>
      </c>
      <c r="R156" s="49">
        <f t="shared" si="7"/>
        <v>11.511904761904761</v>
      </c>
      <c r="S156" s="49">
        <f t="shared" si="12"/>
        <v>7.7360000000000007</v>
      </c>
      <c r="T156" s="52">
        <f t="shared" si="8"/>
        <v>0.61007018838452665</v>
      </c>
      <c r="U156" s="49">
        <v>15</v>
      </c>
      <c r="V156" s="49">
        <v>16.5</v>
      </c>
      <c r="W156" s="63">
        <f t="shared" si="11"/>
        <v>0.27535902960008468</v>
      </c>
      <c r="X156" s="3" t="s">
        <v>613</v>
      </c>
      <c r="Y156">
        <f t="shared" si="9"/>
        <v>4.1680325893126273</v>
      </c>
    </row>
    <row r="157" spans="1:29" ht="15" customHeight="1" x14ac:dyDescent="0.3">
      <c r="A157" s="62" t="s">
        <v>592</v>
      </c>
      <c r="B157" s="47" t="s">
        <v>648</v>
      </c>
      <c r="C157" s="49" t="s">
        <v>590</v>
      </c>
      <c r="D157" s="50">
        <v>1993</v>
      </c>
      <c r="E157" s="49">
        <v>116</v>
      </c>
      <c r="F157" s="49">
        <v>96.7</v>
      </c>
      <c r="G157" s="49"/>
      <c r="H157" s="49">
        <f t="shared" si="3"/>
        <v>96.7</v>
      </c>
      <c r="I157" s="49">
        <v>12.5</v>
      </c>
      <c r="J157" s="49">
        <v>25.2</v>
      </c>
      <c r="K157" s="49">
        <v>8.4</v>
      </c>
      <c r="L157" s="51">
        <f t="shared" si="4"/>
        <v>12487.804878048781</v>
      </c>
      <c r="M157" s="49">
        <v>12800</v>
      </c>
      <c r="N157" s="49">
        <v>4800</v>
      </c>
      <c r="O157" s="49">
        <v>234</v>
      </c>
      <c r="P157" s="49">
        <f t="shared" si="5"/>
        <v>3.8373015873015874</v>
      </c>
      <c r="Q157" s="49">
        <f t="shared" si="6"/>
        <v>3</v>
      </c>
      <c r="R157" s="49">
        <f t="shared" si="7"/>
        <v>11.511904761904761</v>
      </c>
      <c r="S157" s="49">
        <f t="shared" si="12"/>
        <v>7.7360000000000007</v>
      </c>
      <c r="T157" s="52">
        <f t="shared" si="8"/>
        <v>0.61007018838452665</v>
      </c>
      <c r="U157" s="49">
        <v>15</v>
      </c>
      <c r="V157" s="49">
        <v>16.5</v>
      </c>
      <c r="W157" s="63">
        <f t="shared" si="11"/>
        <v>0.27535902960008468</v>
      </c>
      <c r="X157" s="3" t="s">
        <v>626</v>
      </c>
      <c r="Y157">
        <f t="shared" si="9"/>
        <v>4.1680325893126273</v>
      </c>
    </row>
    <row r="158" spans="1:29" s="4" customFormat="1" ht="15" customHeight="1" x14ac:dyDescent="0.3">
      <c r="A158" s="62" t="s">
        <v>653</v>
      </c>
      <c r="B158" s="47" t="s">
        <v>654</v>
      </c>
      <c r="C158" s="49" t="s">
        <v>622</v>
      </c>
      <c r="D158" s="50">
        <v>1992</v>
      </c>
      <c r="E158" s="49">
        <v>93.9</v>
      </c>
      <c r="F158" s="49">
        <v>85.3</v>
      </c>
      <c r="G158" s="49"/>
      <c r="H158" s="49">
        <f t="shared" si="3"/>
        <v>85.3</v>
      </c>
      <c r="I158" s="49">
        <v>9.1</v>
      </c>
      <c r="J158" s="49">
        <v>18.3</v>
      </c>
      <c r="K158" s="49">
        <v>6.8</v>
      </c>
      <c r="L158" s="51">
        <f t="shared" si="4"/>
        <v>6740.4878048780492</v>
      </c>
      <c r="M158" s="49">
        <v>6909</v>
      </c>
      <c r="N158" s="49">
        <f>M158-4877</f>
        <v>2032</v>
      </c>
      <c r="O158" s="49"/>
      <c r="P158" s="49">
        <f t="shared" si="5"/>
        <v>4.6612021857923498</v>
      </c>
      <c r="Q158" s="49">
        <f t="shared" si="6"/>
        <v>2.6911764705882355</v>
      </c>
      <c r="R158" s="49">
        <f t="shared" si="7"/>
        <v>12.544117647058824</v>
      </c>
      <c r="S158" s="49">
        <f t="shared" si="12"/>
        <v>9.3736263736263741</v>
      </c>
      <c r="T158" s="52">
        <f t="shared" si="8"/>
        <v>0.6350125283311957</v>
      </c>
      <c r="U158" s="49">
        <v>9.9</v>
      </c>
      <c r="V158" s="49">
        <v>16.5</v>
      </c>
      <c r="W158" s="63">
        <f t="shared" si="11"/>
        <v>0.29318250009207514</v>
      </c>
      <c r="X158" s="3"/>
      <c r="Y158">
        <f t="shared" si="9"/>
        <v>4.5156324859132901</v>
      </c>
      <c r="AC158" s="5"/>
    </row>
    <row r="159" spans="1:29" ht="15" customHeight="1" x14ac:dyDescent="0.3">
      <c r="A159" s="62" t="s">
        <v>655</v>
      </c>
      <c r="B159" s="47" t="s">
        <v>656</v>
      </c>
      <c r="C159" s="49" t="s">
        <v>657</v>
      </c>
      <c r="D159" s="50">
        <v>1991</v>
      </c>
      <c r="E159" s="49">
        <v>100</v>
      </c>
      <c r="F159" s="49">
        <v>90</v>
      </c>
      <c r="G159" s="49"/>
      <c r="H159" s="49">
        <f t="shared" si="3"/>
        <v>90</v>
      </c>
      <c r="I159" s="49">
        <v>9.6999999999999993</v>
      </c>
      <c r="J159" s="49">
        <v>18.899999999999999</v>
      </c>
      <c r="K159" s="49">
        <v>6.4</v>
      </c>
      <c r="L159" s="51">
        <f t="shared" si="4"/>
        <v>7577.5609756097565</v>
      </c>
      <c r="M159" s="49">
        <v>7767</v>
      </c>
      <c r="N159" s="49">
        <v>2917</v>
      </c>
      <c r="O159" s="49">
        <v>74</v>
      </c>
      <c r="P159" s="49">
        <f t="shared" si="5"/>
        <v>4.7619047619047619</v>
      </c>
      <c r="Q159" s="49">
        <f t="shared" si="6"/>
        <v>2.9531249999999996</v>
      </c>
      <c r="R159" s="49">
        <f t="shared" si="7"/>
        <v>14.0625</v>
      </c>
      <c r="S159" s="49">
        <f t="shared" si="12"/>
        <v>9.2783505154639183</v>
      </c>
      <c r="T159" s="52">
        <f t="shared" si="8"/>
        <v>0.69605755581365347</v>
      </c>
      <c r="U159" s="49">
        <v>6.3</v>
      </c>
      <c r="V159" s="49">
        <v>12</v>
      </c>
      <c r="W159" s="63">
        <f t="shared" si="11"/>
        <v>0.2075814812447378</v>
      </c>
      <c r="X159" s="3" t="s">
        <v>617</v>
      </c>
      <c r="Y159">
        <f t="shared" si="9"/>
        <v>4.5821154725402664</v>
      </c>
    </row>
    <row r="160" spans="1:29" ht="15" customHeight="1" x14ac:dyDescent="0.3">
      <c r="A160" s="62" t="s">
        <v>658</v>
      </c>
      <c r="B160" s="47" t="s">
        <v>659</v>
      </c>
      <c r="C160" s="49" t="s">
        <v>625</v>
      </c>
      <c r="D160" s="50">
        <v>1990</v>
      </c>
      <c r="E160" s="49">
        <v>149.4</v>
      </c>
      <c r="F160" s="49">
        <v>136.32</v>
      </c>
      <c r="G160" s="49">
        <v>136.32</v>
      </c>
      <c r="H160" s="49">
        <f t="shared" si="3"/>
        <v>136.32</v>
      </c>
      <c r="I160" s="49">
        <v>15.68</v>
      </c>
      <c r="J160" s="49">
        <v>28.87</v>
      </c>
      <c r="K160" s="49">
        <v>9</v>
      </c>
      <c r="L160" s="51">
        <f t="shared" si="4"/>
        <v>20585.365853658539</v>
      </c>
      <c r="M160" s="49">
        <v>21100</v>
      </c>
      <c r="N160" s="49">
        <v>3550</v>
      </c>
      <c r="O160" s="49"/>
      <c r="P160" s="49">
        <f t="shared" si="5"/>
        <v>4.7218565985452026</v>
      </c>
      <c r="Q160" s="49">
        <f t="shared" si="6"/>
        <v>3.2077777777777778</v>
      </c>
      <c r="R160" s="49">
        <f t="shared" si="7"/>
        <v>15.146666666666667</v>
      </c>
      <c r="S160" s="49">
        <f t="shared" si="12"/>
        <v>8.6938775510204085</v>
      </c>
      <c r="T160" s="52">
        <f t="shared" si="8"/>
        <v>0.58117874013220749</v>
      </c>
      <c r="U160" s="49">
        <v>36.799999999999997</v>
      </c>
      <c r="V160" s="49">
        <v>20</v>
      </c>
      <c r="W160" s="63">
        <f t="shared" si="11"/>
        <v>0.28111163574776932</v>
      </c>
      <c r="X160" s="3" t="s">
        <v>660</v>
      </c>
      <c r="Y160">
        <f t="shared" si="9"/>
        <v>4.9740106878535135</v>
      </c>
    </row>
    <row r="161" spans="1:25" ht="15" customHeight="1" x14ac:dyDescent="0.3">
      <c r="A161" s="62" t="s">
        <v>661</v>
      </c>
      <c r="B161" s="47" t="s">
        <v>662</v>
      </c>
      <c r="C161" s="49" t="s">
        <v>663</v>
      </c>
      <c r="D161" s="50">
        <v>1989</v>
      </c>
      <c r="E161" s="49">
        <v>94.9</v>
      </c>
      <c r="F161" s="49">
        <v>88.4</v>
      </c>
      <c r="G161" s="49"/>
      <c r="H161" s="49">
        <f t="shared" si="3"/>
        <v>88.4</v>
      </c>
      <c r="I161" s="49">
        <v>10.43</v>
      </c>
      <c r="J161" s="49">
        <v>20.3</v>
      </c>
      <c r="K161" s="49">
        <v>7.9</v>
      </c>
      <c r="L161" s="51">
        <f t="shared" si="4"/>
        <v>7959.0243902439033</v>
      </c>
      <c r="M161" s="49">
        <v>8158</v>
      </c>
      <c r="N161" s="49">
        <v>3911</v>
      </c>
      <c r="O161" s="49"/>
      <c r="P161" s="49">
        <f t="shared" si="5"/>
        <v>4.3546798029556655</v>
      </c>
      <c r="Q161" s="49">
        <f t="shared" si="6"/>
        <v>2.5696202531645569</v>
      </c>
      <c r="R161" s="49">
        <f t="shared" si="7"/>
        <v>11.18987341772152</v>
      </c>
      <c r="S161" s="49">
        <f t="shared" si="12"/>
        <v>8.4755512943432407</v>
      </c>
      <c r="T161" s="52">
        <f t="shared" si="8"/>
        <v>0.56141555502475626</v>
      </c>
      <c r="U161" s="49">
        <v>10</v>
      </c>
      <c r="V161" s="49">
        <v>13</v>
      </c>
      <c r="W161" s="63">
        <f t="shared" si="11"/>
        <v>0.22690592432753523</v>
      </c>
      <c r="X161" s="3" t="s">
        <v>664</v>
      </c>
      <c r="Y161">
        <f t="shared" si="9"/>
        <v>4.4275722125517527</v>
      </c>
    </row>
    <row r="162" spans="1:25" ht="15" customHeight="1" x14ac:dyDescent="0.3">
      <c r="A162" s="62" t="s">
        <v>665</v>
      </c>
      <c r="B162" s="47" t="s">
        <v>666</v>
      </c>
      <c r="C162" s="49" t="s">
        <v>643</v>
      </c>
      <c r="D162" s="50">
        <v>1989</v>
      </c>
      <c r="E162" s="49">
        <v>107.8</v>
      </c>
      <c r="F162" s="49">
        <v>100.2</v>
      </c>
      <c r="G162" s="49"/>
      <c r="H162" s="49">
        <f t="shared" si="3"/>
        <v>100.2</v>
      </c>
      <c r="I162" s="49">
        <v>12</v>
      </c>
      <c r="J162" s="49">
        <v>31.2</v>
      </c>
      <c r="K162" s="49">
        <v>8.5</v>
      </c>
      <c r="L162" s="51">
        <f t="shared" si="4"/>
        <v>12682.926829268294</v>
      </c>
      <c r="M162" s="49">
        <v>13000</v>
      </c>
      <c r="N162" s="49">
        <v>4906</v>
      </c>
      <c r="O162" s="49">
        <v>240</v>
      </c>
      <c r="P162" s="49">
        <f t="shared" si="5"/>
        <v>3.2115384615384617</v>
      </c>
      <c r="Q162" s="49">
        <f t="shared" si="6"/>
        <v>3.6705882352941175</v>
      </c>
      <c r="R162" s="49">
        <f t="shared" si="7"/>
        <v>11.788235294117648</v>
      </c>
      <c r="S162" s="49">
        <f t="shared" si="12"/>
        <v>8.35</v>
      </c>
      <c r="T162" s="52">
        <f t="shared" si="8"/>
        <v>0.47728550550739746</v>
      </c>
      <c r="U162" s="49">
        <v>17.7</v>
      </c>
      <c r="V162" s="49">
        <v>16</v>
      </c>
      <c r="W162" s="63">
        <f t="shared" si="11"/>
        <v>0.26230993341252123</v>
      </c>
      <c r="X162" s="3"/>
      <c r="Y162">
        <f t="shared" si="9"/>
        <v>4.2966293678233312</v>
      </c>
    </row>
    <row r="163" spans="1:25" ht="15" customHeight="1" x14ac:dyDescent="0.3">
      <c r="A163" s="62" t="s">
        <v>667</v>
      </c>
      <c r="B163" s="47" t="s">
        <v>668</v>
      </c>
      <c r="C163" s="49" t="s">
        <v>625</v>
      </c>
      <c r="D163" s="50">
        <v>1987</v>
      </c>
      <c r="E163" s="49">
        <v>141.19999999999999</v>
      </c>
      <c r="F163" s="49">
        <v>139</v>
      </c>
      <c r="G163" s="49">
        <v>128.6</v>
      </c>
      <c r="H163" s="49">
        <f t="shared" si="3"/>
        <v>139</v>
      </c>
      <c r="I163" s="49">
        <v>13.3</v>
      </c>
      <c r="J163" s="49">
        <v>23.5</v>
      </c>
      <c r="K163" s="49">
        <v>8.5</v>
      </c>
      <c r="L163" s="51">
        <f t="shared" si="4"/>
        <v>15937.560975609758</v>
      </c>
      <c r="M163" s="49">
        <v>16336</v>
      </c>
      <c r="N163" s="49">
        <v>7200</v>
      </c>
      <c r="O163" s="49">
        <v>140</v>
      </c>
      <c r="P163" s="49">
        <f t="shared" si="5"/>
        <v>5.9148936170212769</v>
      </c>
      <c r="Q163" s="49">
        <f t="shared" si="6"/>
        <v>2.7647058823529411</v>
      </c>
      <c r="R163" s="49">
        <f t="shared" si="7"/>
        <v>16.352941176470587</v>
      </c>
      <c r="S163" s="49">
        <f t="shared" si="12"/>
        <v>10.451127819548871</v>
      </c>
      <c r="T163" s="52">
        <f t="shared" si="8"/>
        <v>0.57401107411637775</v>
      </c>
      <c r="U163" s="49">
        <v>13.9</v>
      </c>
      <c r="V163" s="49">
        <v>16</v>
      </c>
      <c r="W163" s="63">
        <f t="shared" si="11"/>
        <v>0.22271075891417091</v>
      </c>
      <c r="X163" s="3" t="s">
        <v>669</v>
      </c>
      <c r="Y163">
        <f t="shared" si="9"/>
        <v>5.5234129495663389</v>
      </c>
    </row>
    <row r="164" spans="1:25" ht="15" customHeight="1" x14ac:dyDescent="0.3">
      <c r="A164" s="62" t="s">
        <v>670</v>
      </c>
      <c r="B164" s="47" t="s">
        <v>671</v>
      </c>
      <c r="C164" s="49" t="s">
        <v>672</v>
      </c>
      <c r="D164" s="50">
        <v>1987</v>
      </c>
      <c r="E164" s="49">
        <v>100</v>
      </c>
      <c r="F164" s="49">
        <v>94.1</v>
      </c>
      <c r="G164" s="49"/>
      <c r="H164" s="49">
        <f t="shared" si="3"/>
        <v>94.1</v>
      </c>
      <c r="I164" s="49"/>
      <c r="J164" s="49">
        <v>19.399999999999999</v>
      </c>
      <c r="K164" s="49">
        <v>7.2</v>
      </c>
      <c r="L164" s="51">
        <f t="shared" si="4"/>
        <v>6015.6097560975613</v>
      </c>
      <c r="M164" s="49">
        <v>6166</v>
      </c>
      <c r="N164" s="49"/>
      <c r="O164" s="49">
        <v>115</v>
      </c>
      <c r="P164" s="49">
        <f t="shared" si="5"/>
        <v>4.8505154639175254</v>
      </c>
      <c r="Q164" s="49">
        <f t="shared" si="6"/>
        <v>2.6944444444444442</v>
      </c>
      <c r="R164" s="49">
        <f t="shared" si="7"/>
        <v>13.069444444444443</v>
      </c>
      <c r="S164" s="49"/>
      <c r="T164" s="52">
        <f t="shared" si="8"/>
        <v>0.45767354043929481</v>
      </c>
      <c r="U164" s="49">
        <v>12</v>
      </c>
      <c r="V164" s="49">
        <v>16</v>
      </c>
      <c r="W164" s="63">
        <f t="shared" si="11"/>
        <v>0.27067851566170464</v>
      </c>
      <c r="X164" s="3" t="s">
        <v>673</v>
      </c>
      <c r="Y164">
        <f t="shared" si="9"/>
        <v>5.1740394823009366</v>
      </c>
    </row>
    <row r="165" spans="1:25" ht="15" customHeight="1" x14ac:dyDescent="0.3">
      <c r="A165" s="62" t="s">
        <v>591</v>
      </c>
      <c r="B165" s="47" t="s">
        <v>674</v>
      </c>
      <c r="C165" s="49" t="s">
        <v>590</v>
      </c>
      <c r="D165" s="50">
        <v>1987</v>
      </c>
      <c r="E165" s="49">
        <v>99</v>
      </c>
      <c r="F165" s="49">
        <v>90</v>
      </c>
      <c r="G165" s="49"/>
      <c r="H165" s="49">
        <f t="shared" si="3"/>
        <v>90</v>
      </c>
      <c r="I165" s="49">
        <v>11.31</v>
      </c>
      <c r="J165" s="49">
        <v>23.4</v>
      </c>
      <c r="K165" s="49">
        <v>7.3</v>
      </c>
      <c r="L165" s="51">
        <f t="shared" si="4"/>
        <v>8907.3170731707323</v>
      </c>
      <c r="M165" s="49">
        <v>9130</v>
      </c>
      <c r="N165" s="49"/>
      <c r="O165" s="49">
        <v>160</v>
      </c>
      <c r="P165" s="49">
        <f t="shared" si="5"/>
        <v>3.8461538461538463</v>
      </c>
      <c r="Q165" s="49">
        <f t="shared" si="6"/>
        <v>3.2054794520547945</v>
      </c>
      <c r="R165" s="49">
        <f t="shared" si="7"/>
        <v>12.328767123287671</v>
      </c>
      <c r="S165" s="49">
        <f>H165/I165</f>
        <v>7.957559681697612</v>
      </c>
      <c r="T165" s="52">
        <f t="shared" si="8"/>
        <v>0.57938291594600766</v>
      </c>
      <c r="U165" s="49">
        <v>15</v>
      </c>
      <c r="V165" s="49">
        <v>18.5</v>
      </c>
      <c r="W165" s="63">
        <f t="shared" si="11"/>
        <v>0.32002145025230411</v>
      </c>
      <c r="X165" s="3" t="s">
        <v>675</v>
      </c>
      <c r="Y165">
        <f t="shared" si="9"/>
        <v>4.341703937253687</v>
      </c>
    </row>
    <row r="166" spans="1:25" ht="15" customHeight="1" x14ac:dyDescent="0.3">
      <c r="A166" s="62" t="s">
        <v>588</v>
      </c>
      <c r="B166" s="47" t="s">
        <v>674</v>
      </c>
      <c r="C166" s="49" t="s">
        <v>590</v>
      </c>
      <c r="D166" s="50">
        <v>1986</v>
      </c>
      <c r="E166" s="49">
        <v>99</v>
      </c>
      <c r="F166" s="49">
        <v>90</v>
      </c>
      <c r="G166" s="49"/>
      <c r="H166" s="49">
        <f t="shared" si="3"/>
        <v>90</v>
      </c>
      <c r="I166" s="49">
        <v>11.31</v>
      </c>
      <c r="J166" s="49">
        <v>23.4</v>
      </c>
      <c r="K166" s="49">
        <v>7.3</v>
      </c>
      <c r="L166" s="51">
        <f t="shared" si="4"/>
        <v>8907.3170731707323</v>
      </c>
      <c r="M166" s="49">
        <v>9130</v>
      </c>
      <c r="N166" s="49"/>
      <c r="O166" s="49">
        <v>160</v>
      </c>
      <c r="P166" s="49">
        <f t="shared" si="5"/>
        <v>3.8461538461538463</v>
      </c>
      <c r="Q166" s="49">
        <f t="shared" si="6"/>
        <v>3.2054794520547945</v>
      </c>
      <c r="R166" s="49">
        <f t="shared" si="7"/>
        <v>12.328767123287671</v>
      </c>
      <c r="S166" s="49">
        <f>H166/I166</f>
        <v>7.957559681697612</v>
      </c>
      <c r="T166" s="52">
        <f t="shared" si="8"/>
        <v>0.57938291594600766</v>
      </c>
      <c r="U166" s="49">
        <v>15</v>
      </c>
      <c r="V166" s="49">
        <v>18.5</v>
      </c>
      <c r="W166" s="63">
        <f t="shared" si="11"/>
        <v>0.32002145025230411</v>
      </c>
      <c r="X166" s="3" t="s">
        <v>676</v>
      </c>
      <c r="Y166">
        <f t="shared" si="9"/>
        <v>4.341703937253687</v>
      </c>
    </row>
    <row r="167" spans="1:25" ht="15" customHeight="1" x14ac:dyDescent="0.3">
      <c r="A167" s="62" t="s">
        <v>677</v>
      </c>
      <c r="B167" s="47" t="s">
        <v>671</v>
      </c>
      <c r="C167" s="49" t="s">
        <v>672</v>
      </c>
      <c r="D167" s="50">
        <v>1985</v>
      </c>
      <c r="E167" s="49"/>
      <c r="F167" s="49">
        <v>64.7</v>
      </c>
      <c r="G167" s="49"/>
      <c r="H167" s="49">
        <f t="shared" si="3"/>
        <v>64.7</v>
      </c>
      <c r="I167" s="49"/>
      <c r="J167" s="49">
        <v>14</v>
      </c>
      <c r="K167" s="49">
        <v>5.8</v>
      </c>
      <c r="L167" s="51">
        <f t="shared" si="4"/>
        <v>0</v>
      </c>
      <c r="M167" s="49"/>
      <c r="N167" s="49"/>
      <c r="O167" s="49">
        <v>81</v>
      </c>
      <c r="P167" s="49">
        <f t="shared" si="5"/>
        <v>4.6214285714285719</v>
      </c>
      <c r="Q167" s="49">
        <f t="shared" si="6"/>
        <v>2.4137931034482758</v>
      </c>
      <c r="R167" s="49">
        <f t="shared" si="7"/>
        <v>11.155172413793105</v>
      </c>
      <c r="S167" s="49"/>
      <c r="T167" s="52" t="str">
        <f t="shared" si="8"/>
        <v/>
      </c>
      <c r="U167" s="49">
        <v>5.3</v>
      </c>
      <c r="V167" s="49"/>
      <c r="W167" s="63"/>
      <c r="X167" s="3" t="s">
        <v>669</v>
      </c>
    </row>
    <row r="168" spans="1:25" ht="15" customHeight="1" x14ac:dyDescent="0.3">
      <c r="A168" s="62" t="s">
        <v>678</v>
      </c>
      <c r="B168" s="47" t="s">
        <v>679</v>
      </c>
      <c r="C168" s="49" t="s">
        <v>672</v>
      </c>
      <c r="D168" s="50">
        <v>1984</v>
      </c>
      <c r="E168" s="49">
        <v>68</v>
      </c>
      <c r="F168" s="49">
        <v>60.9</v>
      </c>
      <c r="G168" s="49"/>
      <c r="H168" s="49">
        <f t="shared" si="3"/>
        <v>60.9</v>
      </c>
      <c r="I168" s="49"/>
      <c r="J168" s="49">
        <v>14.5</v>
      </c>
      <c r="K168" s="49">
        <v>5.9</v>
      </c>
      <c r="L168" s="51">
        <f t="shared" si="4"/>
        <v>0</v>
      </c>
      <c r="M168" s="49"/>
      <c r="N168" s="49">
        <v>1477</v>
      </c>
      <c r="O168" s="49">
        <v>125</v>
      </c>
      <c r="P168" s="49">
        <f t="shared" si="5"/>
        <v>4.2</v>
      </c>
      <c r="Q168" s="49">
        <f t="shared" si="6"/>
        <v>2.4576271186440675</v>
      </c>
      <c r="R168" s="49">
        <f t="shared" si="7"/>
        <v>10.322033898305083</v>
      </c>
      <c r="S168" s="49"/>
      <c r="T168" s="52" t="str">
        <f t="shared" si="8"/>
        <v/>
      </c>
      <c r="U168" s="49">
        <v>9</v>
      </c>
      <c r="V168" s="49">
        <v>7</v>
      </c>
      <c r="W168" s="63">
        <f t="shared" si="11"/>
        <v>0.14720345689556838</v>
      </c>
      <c r="X168" s="3" t="s">
        <v>680</v>
      </c>
    </row>
    <row r="169" spans="1:25" ht="15" customHeight="1" x14ac:dyDescent="0.3">
      <c r="A169" s="62" t="s">
        <v>681</v>
      </c>
      <c r="B169" s="47" t="s">
        <v>624</v>
      </c>
      <c r="C169" s="49" t="s">
        <v>625</v>
      </c>
      <c r="D169" s="50">
        <v>1983</v>
      </c>
      <c r="E169" s="49">
        <v>88.49</v>
      </c>
      <c r="F169" s="49">
        <v>78.5</v>
      </c>
      <c r="G169" s="49">
        <v>78.5</v>
      </c>
      <c r="H169" s="49">
        <f t="shared" si="3"/>
        <v>78.5</v>
      </c>
      <c r="I169" s="49">
        <v>10.5</v>
      </c>
      <c r="J169" s="49">
        <v>20</v>
      </c>
      <c r="K169" s="49">
        <v>6</v>
      </c>
      <c r="L169" s="51">
        <f t="shared" si="4"/>
        <v>6422.4390243902444</v>
      </c>
      <c r="M169" s="49">
        <v>6583</v>
      </c>
      <c r="N169" s="49">
        <v>2281</v>
      </c>
      <c r="O169" s="49">
        <v>87</v>
      </c>
      <c r="P169" s="49">
        <f t="shared" si="5"/>
        <v>3.9249999999999998</v>
      </c>
      <c r="Q169" s="49">
        <f t="shared" si="6"/>
        <v>3.3333333333333335</v>
      </c>
      <c r="R169" s="49">
        <f t="shared" si="7"/>
        <v>13.083333333333334</v>
      </c>
      <c r="S169" s="49">
        <f>H169/I169</f>
        <v>7.4761904761904763</v>
      </c>
      <c r="T169" s="52">
        <f t="shared" si="8"/>
        <v>0.68178758220703228</v>
      </c>
      <c r="U169" s="49">
        <v>7</v>
      </c>
      <c r="V169" s="49">
        <v>16.5</v>
      </c>
      <c r="W169" s="63">
        <f t="shared" si="11"/>
        <v>0.30561715683090646</v>
      </c>
      <c r="X169" s="3"/>
      <c r="Y169">
        <f t="shared" si="9"/>
        <v>4.223148246276204</v>
      </c>
    </row>
    <row r="170" spans="1:25" ht="15" customHeight="1" x14ac:dyDescent="0.3">
      <c r="A170" s="62" t="s">
        <v>682</v>
      </c>
      <c r="B170" s="47" t="s">
        <v>671</v>
      </c>
      <c r="C170" s="49" t="s">
        <v>672</v>
      </c>
      <c r="D170" s="50">
        <v>1983</v>
      </c>
      <c r="E170" s="49">
        <v>88</v>
      </c>
      <c r="F170" s="49">
        <v>80.599999999999994</v>
      </c>
      <c r="G170" s="49"/>
      <c r="H170" s="49">
        <f t="shared" si="3"/>
        <v>80.599999999999994</v>
      </c>
      <c r="I170" s="49"/>
      <c r="J170" s="49">
        <v>17.2</v>
      </c>
      <c r="K170" s="49">
        <v>8.3000000000000007</v>
      </c>
      <c r="L170" s="51">
        <f t="shared" si="4"/>
        <v>4130.7317073170734</v>
      </c>
      <c r="M170" s="49">
        <v>4234</v>
      </c>
      <c r="N170" s="49"/>
      <c r="O170" s="49">
        <v>190</v>
      </c>
      <c r="P170" s="49">
        <f t="shared" si="5"/>
        <v>4.6860465116279064</v>
      </c>
      <c r="Q170" s="49">
        <f t="shared" si="6"/>
        <v>2.0722891566265056</v>
      </c>
      <c r="R170" s="49">
        <f t="shared" si="7"/>
        <v>9.7108433734939741</v>
      </c>
      <c r="S170" s="49"/>
      <c r="T170" s="52">
        <f t="shared" si="8"/>
        <v>0.35899252622328487</v>
      </c>
      <c r="U170" s="49">
        <v>17.7</v>
      </c>
      <c r="V170" s="49">
        <v>16</v>
      </c>
      <c r="W170" s="63">
        <f t="shared" si="11"/>
        <v>0.29246983295309581</v>
      </c>
      <c r="X170" s="3" t="s">
        <v>683</v>
      </c>
      <c r="Y170">
        <f t="shared" si="9"/>
        <v>5.0233416009471314</v>
      </c>
    </row>
    <row r="171" spans="1:25" ht="15" customHeight="1" x14ac:dyDescent="0.3">
      <c r="A171" s="62" t="s">
        <v>684</v>
      </c>
      <c r="B171" s="47" t="s">
        <v>685</v>
      </c>
      <c r="C171" s="49" t="s">
        <v>625</v>
      </c>
      <c r="D171" s="50">
        <v>1983</v>
      </c>
      <c r="E171" s="49">
        <v>88</v>
      </c>
      <c r="F171" s="49">
        <v>80.599999999999994</v>
      </c>
      <c r="G171" s="49">
        <v>79.16</v>
      </c>
      <c r="H171" s="49">
        <f t="shared" si="3"/>
        <v>80.599999999999994</v>
      </c>
      <c r="I171" s="49">
        <v>10</v>
      </c>
      <c r="J171" s="49">
        <v>17.2</v>
      </c>
      <c r="K171" s="49">
        <v>8</v>
      </c>
      <c r="L171" s="51">
        <f t="shared" si="4"/>
        <v>6904.3902439024396</v>
      </c>
      <c r="M171" s="49">
        <v>7077</v>
      </c>
      <c r="N171" s="49">
        <v>2113</v>
      </c>
      <c r="O171" s="49">
        <v>200</v>
      </c>
      <c r="P171" s="49">
        <f t="shared" si="5"/>
        <v>4.6860465116279064</v>
      </c>
      <c r="Q171" s="49">
        <f t="shared" si="6"/>
        <v>2.15</v>
      </c>
      <c r="R171" s="49">
        <f t="shared" si="7"/>
        <v>10.074999999999999</v>
      </c>
      <c r="S171" s="49">
        <f>H171/I171</f>
        <v>8.0599999999999987</v>
      </c>
      <c r="T171" s="52">
        <f t="shared" si="8"/>
        <v>0.62254658411319541</v>
      </c>
      <c r="U171" s="49">
        <v>17.100000000000001</v>
      </c>
      <c r="V171" s="49">
        <v>14</v>
      </c>
      <c r="W171" s="63">
        <f t="shared" si="11"/>
        <v>0.25591110383395882</v>
      </c>
      <c r="X171" s="3" t="s">
        <v>686</v>
      </c>
      <c r="Y171">
        <f t="shared" si="9"/>
        <v>4.2327887904725854</v>
      </c>
    </row>
    <row r="172" spans="1:25" ht="15" customHeight="1" x14ac:dyDescent="0.3">
      <c r="A172" s="62" t="s">
        <v>687</v>
      </c>
      <c r="B172" s="47" t="s">
        <v>688</v>
      </c>
      <c r="C172" s="49" t="s">
        <v>689</v>
      </c>
      <c r="D172" s="50">
        <v>1982</v>
      </c>
      <c r="E172" s="49">
        <v>117</v>
      </c>
      <c r="F172" s="49">
        <v>73</v>
      </c>
      <c r="G172" s="49"/>
      <c r="H172" s="49">
        <f t="shared" si="3"/>
        <v>73</v>
      </c>
      <c r="I172" s="49"/>
      <c r="J172" s="49">
        <v>18</v>
      </c>
      <c r="K172" s="49">
        <v>7.5</v>
      </c>
      <c r="L172" s="51">
        <f t="shared" si="4"/>
        <v>0</v>
      </c>
      <c r="M172" s="49"/>
      <c r="N172" s="49">
        <v>7991</v>
      </c>
      <c r="O172" s="49">
        <v>107</v>
      </c>
      <c r="P172" s="49">
        <f t="shared" si="5"/>
        <v>4.0555555555555554</v>
      </c>
      <c r="Q172" s="49">
        <f t="shared" si="6"/>
        <v>2.4</v>
      </c>
      <c r="R172" s="49">
        <f t="shared" si="7"/>
        <v>9.7333333333333325</v>
      </c>
      <c r="S172" s="49"/>
      <c r="T172" s="52" t="str">
        <f t="shared" si="8"/>
        <v/>
      </c>
      <c r="U172" s="49">
        <v>7.1</v>
      </c>
      <c r="V172" s="49">
        <v>12</v>
      </c>
      <c r="W172" s="63">
        <f t="shared" si="11"/>
        <v>0.23048805935904937</v>
      </c>
      <c r="X172" s="3" t="s">
        <v>617</v>
      </c>
    </row>
    <row r="173" spans="1:25" ht="15" customHeight="1" x14ac:dyDescent="0.3">
      <c r="A173" s="62" t="s">
        <v>690</v>
      </c>
      <c r="B173" s="47" t="s">
        <v>671</v>
      </c>
      <c r="C173" s="49" t="s">
        <v>672</v>
      </c>
      <c r="D173" s="50">
        <v>1982</v>
      </c>
      <c r="E173" s="49">
        <v>98.15</v>
      </c>
      <c r="F173" s="49">
        <v>88.9</v>
      </c>
      <c r="G173" s="49"/>
      <c r="H173" s="49">
        <f t="shared" si="3"/>
        <v>88.9</v>
      </c>
      <c r="I173" s="49"/>
      <c r="J173" s="49">
        <v>19.2</v>
      </c>
      <c r="K173" s="49">
        <v>7.2</v>
      </c>
      <c r="L173" s="51">
        <f t="shared" si="4"/>
        <v>5765.8536585365855</v>
      </c>
      <c r="M173" s="49">
        <v>5910</v>
      </c>
      <c r="N173" s="49"/>
      <c r="O173" s="49">
        <v>115</v>
      </c>
      <c r="P173" s="49">
        <f t="shared" si="5"/>
        <v>4.6302083333333339</v>
      </c>
      <c r="Q173" s="49">
        <f t="shared" si="6"/>
        <v>2.6666666666666665</v>
      </c>
      <c r="R173" s="49">
        <f t="shared" si="7"/>
        <v>12.347222222222223</v>
      </c>
      <c r="S173" s="49"/>
      <c r="T173" s="52">
        <f t="shared" si="8"/>
        <v>0.46916772598547124</v>
      </c>
      <c r="U173" s="49">
        <v>10</v>
      </c>
      <c r="V173" s="49">
        <v>16.7</v>
      </c>
      <c r="W173" s="63">
        <f t="shared" si="11"/>
        <v>0.29066598115584802</v>
      </c>
      <c r="X173" s="3" t="s">
        <v>680</v>
      </c>
      <c r="Y173">
        <f t="shared" si="9"/>
        <v>4.9577035682419002</v>
      </c>
    </row>
    <row r="174" spans="1:25" ht="15" customHeight="1" x14ac:dyDescent="0.3">
      <c r="A174" s="62" t="s">
        <v>691</v>
      </c>
      <c r="B174" s="47" t="s">
        <v>633</v>
      </c>
      <c r="C174" s="49" t="s">
        <v>625</v>
      </c>
      <c r="D174" s="50">
        <v>1982</v>
      </c>
      <c r="E174" s="49">
        <v>88.49</v>
      </c>
      <c r="F174" s="49">
        <v>78.5</v>
      </c>
      <c r="G174" s="49">
        <v>78.5</v>
      </c>
      <c r="H174" s="49">
        <f t="shared" si="3"/>
        <v>78.5</v>
      </c>
      <c r="I174" s="49">
        <v>10.5</v>
      </c>
      <c r="J174" s="49">
        <v>20</v>
      </c>
      <c r="K174" s="49">
        <v>6</v>
      </c>
      <c r="L174" s="51">
        <f t="shared" si="4"/>
        <v>6058.5365853658541</v>
      </c>
      <c r="M174" s="49">
        <v>6210</v>
      </c>
      <c r="N174" s="49">
        <v>1909</v>
      </c>
      <c r="O174" s="49">
        <v>87</v>
      </c>
      <c r="P174" s="49">
        <f t="shared" si="5"/>
        <v>3.9249999999999998</v>
      </c>
      <c r="Q174" s="49">
        <f t="shared" si="6"/>
        <v>3.3333333333333335</v>
      </c>
      <c r="R174" s="49">
        <f t="shared" si="7"/>
        <v>13.083333333333334</v>
      </c>
      <c r="S174" s="49">
        <f>H174/I174</f>
        <v>7.4761904761904763</v>
      </c>
      <c r="T174" s="52">
        <f t="shared" si="8"/>
        <v>0.64315675003883799</v>
      </c>
      <c r="U174" s="49">
        <v>7</v>
      </c>
      <c r="V174" s="49">
        <v>16.5</v>
      </c>
      <c r="W174" s="63">
        <f t="shared" si="11"/>
        <v>0.30561715683090646</v>
      </c>
      <c r="X174" s="3" t="s">
        <v>692</v>
      </c>
      <c r="Y174">
        <f t="shared" si="9"/>
        <v>4.3060633204846734</v>
      </c>
    </row>
    <row r="175" spans="1:25" ht="15" customHeight="1" x14ac:dyDescent="0.3">
      <c r="A175" s="62" t="s">
        <v>693</v>
      </c>
      <c r="B175" s="47" t="s">
        <v>633</v>
      </c>
      <c r="C175" s="49" t="s">
        <v>625</v>
      </c>
      <c r="D175" s="50">
        <v>1982</v>
      </c>
      <c r="E175" s="49">
        <v>78.849999999999994</v>
      </c>
      <c r="F175" s="49">
        <v>75.5</v>
      </c>
      <c r="G175" s="49">
        <v>75</v>
      </c>
      <c r="H175" s="49">
        <f t="shared" si="3"/>
        <v>75.5</v>
      </c>
      <c r="I175" s="49">
        <v>9.6999999999999993</v>
      </c>
      <c r="J175" s="49">
        <v>16.600000000000001</v>
      </c>
      <c r="K175" s="49">
        <v>7.5</v>
      </c>
      <c r="L175" s="51">
        <f t="shared" si="4"/>
        <v>5460.4878048780492</v>
      </c>
      <c r="M175" s="49">
        <v>5597</v>
      </c>
      <c r="N175" s="49">
        <v>1615</v>
      </c>
      <c r="O175" s="49">
        <v>165</v>
      </c>
      <c r="P175" s="49">
        <f t="shared" si="5"/>
        <v>4.5481927710843371</v>
      </c>
      <c r="Q175" s="49">
        <f t="shared" si="6"/>
        <v>2.2133333333333334</v>
      </c>
      <c r="R175" s="49">
        <f t="shared" si="7"/>
        <v>10.066666666666666</v>
      </c>
      <c r="S175" s="49">
        <f>H175/I175</f>
        <v>7.783505154639176</v>
      </c>
      <c r="T175" s="52">
        <f t="shared" si="8"/>
        <v>0.58091840792340732</v>
      </c>
      <c r="U175" s="49">
        <v>11.2</v>
      </c>
      <c r="V175" s="49">
        <v>14</v>
      </c>
      <c r="W175" s="63">
        <f t="shared" si="11"/>
        <v>0.26441322619433594</v>
      </c>
      <c r="X175" s="3" t="s">
        <v>694</v>
      </c>
      <c r="Y175">
        <f t="shared" si="9"/>
        <v>4.2874901744729526</v>
      </c>
    </row>
    <row r="176" spans="1:25" ht="15" customHeight="1" x14ac:dyDescent="0.3">
      <c r="A176" s="62" t="s">
        <v>695</v>
      </c>
      <c r="B176" s="47" t="s">
        <v>624</v>
      </c>
      <c r="C176" s="49" t="s">
        <v>625</v>
      </c>
      <c r="D176" s="50">
        <v>1982</v>
      </c>
      <c r="E176" s="49">
        <v>111.56</v>
      </c>
      <c r="F176" s="49">
        <v>95.52</v>
      </c>
      <c r="G176" s="49">
        <v>95.52</v>
      </c>
      <c r="H176" s="49">
        <f t="shared" si="3"/>
        <v>95.52</v>
      </c>
      <c r="I176" s="49">
        <v>10.5</v>
      </c>
      <c r="J176" s="49">
        <v>20</v>
      </c>
      <c r="K176" s="49">
        <v>6</v>
      </c>
      <c r="L176" s="51">
        <f t="shared" si="4"/>
        <v>7955.121951219513</v>
      </c>
      <c r="M176" s="49">
        <v>8154</v>
      </c>
      <c r="N176" s="49">
        <v>2920</v>
      </c>
      <c r="O176" s="49">
        <v>87</v>
      </c>
      <c r="P176" s="49">
        <f t="shared" si="5"/>
        <v>4.7759999999999998</v>
      </c>
      <c r="Q176" s="49">
        <f t="shared" si="6"/>
        <v>3.3333333333333335</v>
      </c>
      <c r="R176" s="49">
        <f t="shared" si="7"/>
        <v>15.92</v>
      </c>
      <c r="S176" s="49">
        <f>H176/I176</f>
        <v>9.0971428571428561</v>
      </c>
      <c r="T176" s="52">
        <f t="shared" si="8"/>
        <v>0.69401887486211555</v>
      </c>
      <c r="U176" s="49">
        <v>7</v>
      </c>
      <c r="V176" s="49">
        <v>16.5</v>
      </c>
      <c r="W176" s="63">
        <f t="shared" si="11"/>
        <v>0.27705462384726043</v>
      </c>
      <c r="X176" s="3"/>
      <c r="Y176">
        <f t="shared" si="9"/>
        <v>4.7849642776030707</v>
      </c>
    </row>
    <row r="177" spans="1:29" ht="15" customHeight="1" x14ac:dyDescent="0.3">
      <c r="A177" s="62" t="s">
        <v>696</v>
      </c>
      <c r="B177" s="47" t="s">
        <v>697</v>
      </c>
      <c r="C177" s="49" t="s">
        <v>637</v>
      </c>
      <c r="D177" s="50">
        <v>1982</v>
      </c>
      <c r="E177" s="49">
        <v>117.91</v>
      </c>
      <c r="F177" s="49">
        <v>109.2</v>
      </c>
      <c r="G177" s="49"/>
      <c r="H177" s="49">
        <f t="shared" si="3"/>
        <v>109.2</v>
      </c>
      <c r="I177" s="49"/>
      <c r="J177" s="49">
        <v>24</v>
      </c>
      <c r="K177" s="49">
        <v>11.2</v>
      </c>
      <c r="L177" s="51">
        <f t="shared" si="4"/>
        <v>16878.048780487807</v>
      </c>
      <c r="M177" s="49">
        <v>17300</v>
      </c>
      <c r="N177" s="49"/>
      <c r="O177" s="49"/>
      <c r="P177" s="49">
        <f t="shared" si="5"/>
        <v>4.55</v>
      </c>
      <c r="Q177" s="49">
        <f t="shared" si="6"/>
        <v>2.1428571428571428</v>
      </c>
      <c r="R177" s="49">
        <f t="shared" si="7"/>
        <v>9.75</v>
      </c>
      <c r="S177" s="49"/>
      <c r="T177" s="52">
        <f t="shared" si="8"/>
        <v>0.57500329712873277</v>
      </c>
      <c r="U177" s="49">
        <v>14</v>
      </c>
      <c r="V177" s="49">
        <v>15.5</v>
      </c>
      <c r="W177" s="63">
        <f t="shared" si="11"/>
        <v>0.24341592871038287</v>
      </c>
      <c r="X177" s="3" t="s">
        <v>698</v>
      </c>
      <c r="Y177">
        <f t="shared" si="9"/>
        <v>4.2571134668790522</v>
      </c>
    </row>
    <row r="178" spans="1:29" ht="15" customHeight="1" x14ac:dyDescent="0.3">
      <c r="A178" s="64" t="s">
        <v>699</v>
      </c>
      <c r="B178" s="48" t="s">
        <v>700</v>
      </c>
      <c r="C178" s="53" t="s">
        <v>689</v>
      </c>
      <c r="D178" s="54">
        <v>1982</v>
      </c>
      <c r="E178" s="53">
        <v>82.5</v>
      </c>
      <c r="F178" s="53">
        <v>74.3</v>
      </c>
      <c r="G178" s="53"/>
      <c r="H178" s="53">
        <f t="shared" si="3"/>
        <v>74.3</v>
      </c>
      <c r="I178" s="53">
        <v>7.5</v>
      </c>
      <c r="J178" s="53">
        <v>18</v>
      </c>
      <c r="K178" s="53">
        <v>5</v>
      </c>
      <c r="L178" s="55"/>
      <c r="M178" s="53"/>
      <c r="N178" s="53">
        <v>2734</v>
      </c>
      <c r="O178" s="53"/>
      <c r="P178" s="53">
        <f t="shared" si="5"/>
        <v>4.1277777777777773</v>
      </c>
      <c r="Q178" s="53">
        <f t="shared" si="6"/>
        <v>3.6</v>
      </c>
      <c r="R178" s="53">
        <f t="shared" si="7"/>
        <v>14.86</v>
      </c>
      <c r="S178" s="53"/>
      <c r="T178" s="56"/>
      <c r="U178" s="53">
        <v>7.3</v>
      </c>
      <c r="V178" s="53">
        <v>12</v>
      </c>
      <c r="W178" s="65">
        <f t="shared" si="11"/>
        <v>0.22846277861295583</v>
      </c>
      <c r="X178" s="6"/>
    </row>
    <row r="179" spans="1:29" ht="15" customHeight="1" x14ac:dyDescent="0.3">
      <c r="A179" s="62" t="s">
        <v>701</v>
      </c>
      <c r="B179" s="47" t="s">
        <v>702</v>
      </c>
      <c r="C179" s="49" t="s">
        <v>703</v>
      </c>
      <c r="D179" s="50">
        <v>1982</v>
      </c>
      <c r="E179" s="49">
        <v>134</v>
      </c>
      <c r="F179" s="49">
        <v>124</v>
      </c>
      <c r="G179" s="49"/>
      <c r="H179" s="49">
        <f t="shared" si="3"/>
        <v>124</v>
      </c>
      <c r="I179" s="49"/>
      <c r="J179" s="49">
        <v>27</v>
      </c>
      <c r="K179" s="49">
        <v>9.1999999999999993</v>
      </c>
      <c r="L179" s="51">
        <f t="shared" ref="L179:L190" si="13">M179/1.025</f>
        <v>11498.536585365855</v>
      </c>
      <c r="M179" s="49">
        <v>11786</v>
      </c>
      <c r="N179" s="49"/>
      <c r="O179" s="49">
        <v>243</v>
      </c>
      <c r="P179" s="49">
        <f t="shared" si="5"/>
        <v>4.5925925925925926</v>
      </c>
      <c r="Q179" s="49">
        <f t="shared" si="6"/>
        <v>2.9347826086956523</v>
      </c>
      <c r="R179" s="49">
        <f t="shared" si="7"/>
        <v>13.478260869565219</v>
      </c>
      <c r="S179" s="49"/>
      <c r="T179" s="52">
        <f t="shared" ref="T179:T211" si="14">IF(M179="","",L179/(H179*J179*K179))</f>
        <v>0.37330971720189393</v>
      </c>
      <c r="U179" s="49">
        <v>22.1</v>
      </c>
      <c r="V179" s="49">
        <v>19</v>
      </c>
      <c r="W179" s="63">
        <f t="shared" si="11"/>
        <v>0.2800086022532744</v>
      </c>
      <c r="X179" s="3" t="s">
        <v>704</v>
      </c>
      <c r="Y179">
        <f t="shared" si="9"/>
        <v>5.4938166517761724</v>
      </c>
    </row>
    <row r="180" spans="1:29" ht="15" customHeight="1" x14ac:dyDescent="0.3">
      <c r="A180" s="62" t="s">
        <v>705</v>
      </c>
      <c r="B180" s="47" t="s">
        <v>633</v>
      </c>
      <c r="C180" s="49" t="s">
        <v>625</v>
      </c>
      <c r="D180" s="50">
        <v>1981</v>
      </c>
      <c r="E180" s="49">
        <v>129.1</v>
      </c>
      <c r="F180" s="49">
        <v>121.3</v>
      </c>
      <c r="G180" s="49">
        <v>121.3</v>
      </c>
      <c r="H180" s="49">
        <f t="shared" si="3"/>
        <v>121.3</v>
      </c>
      <c r="I180" s="49">
        <v>12.3</v>
      </c>
      <c r="J180" s="49">
        <v>25.6</v>
      </c>
      <c r="K180" s="49">
        <v>8.5</v>
      </c>
      <c r="L180" s="51">
        <f t="shared" si="13"/>
        <v>14553.170731707318</v>
      </c>
      <c r="M180" s="49">
        <v>14917</v>
      </c>
      <c r="N180" s="49">
        <v>4418</v>
      </c>
      <c r="O180" s="49">
        <v>181</v>
      </c>
      <c r="P180" s="49">
        <f t="shared" si="5"/>
        <v>4.73828125</v>
      </c>
      <c r="Q180" s="49">
        <f t="shared" si="6"/>
        <v>3.0117647058823529</v>
      </c>
      <c r="R180" s="49">
        <f t="shared" si="7"/>
        <v>14.270588235294117</v>
      </c>
      <c r="S180" s="49">
        <f>H180/I180</f>
        <v>9.8617886178861784</v>
      </c>
      <c r="T180" s="52">
        <f t="shared" si="14"/>
        <v>0.55136339819341162</v>
      </c>
      <c r="U180" s="49">
        <v>16.2</v>
      </c>
      <c r="V180" s="49">
        <v>18</v>
      </c>
      <c r="W180" s="63">
        <f t="shared" si="11"/>
        <v>0.26820737767736963</v>
      </c>
      <c r="X180" s="3" t="s">
        <v>626</v>
      </c>
      <c r="Y180">
        <f t="shared" si="9"/>
        <v>4.9683051197400667</v>
      </c>
    </row>
    <row r="181" spans="1:29" ht="15" customHeight="1" x14ac:dyDescent="0.3">
      <c r="A181" s="62" t="s">
        <v>706</v>
      </c>
      <c r="B181" s="47" t="s">
        <v>707</v>
      </c>
      <c r="C181" s="49" t="s">
        <v>708</v>
      </c>
      <c r="D181" s="50">
        <v>1980</v>
      </c>
      <c r="E181" s="49">
        <v>60</v>
      </c>
      <c r="F181" s="49">
        <v>48.6</v>
      </c>
      <c r="G181" s="49"/>
      <c r="H181" s="49">
        <f t="shared" si="3"/>
        <v>48.6</v>
      </c>
      <c r="I181" s="49"/>
      <c r="J181" s="49">
        <v>12.2</v>
      </c>
      <c r="K181" s="49">
        <v>3.8</v>
      </c>
      <c r="L181" s="51">
        <f t="shared" si="13"/>
        <v>0</v>
      </c>
      <c r="M181" s="49"/>
      <c r="N181" s="49">
        <v>266</v>
      </c>
      <c r="O181" s="49">
        <v>45.3</v>
      </c>
      <c r="P181" s="49">
        <f t="shared" si="5"/>
        <v>3.9836065573770494</v>
      </c>
      <c r="Q181" s="49">
        <f t="shared" si="6"/>
        <v>3.2105263157894735</v>
      </c>
      <c r="R181" s="49">
        <f t="shared" si="7"/>
        <v>12.789473684210527</v>
      </c>
      <c r="S181" s="49"/>
      <c r="T181" s="52" t="str">
        <f t="shared" si="14"/>
        <v/>
      </c>
      <c r="U181" s="49">
        <v>4.4000000000000004</v>
      </c>
      <c r="V181" s="49">
        <v>5.0999999999999996</v>
      </c>
      <c r="W181" s="63">
        <f t="shared" si="11"/>
        <v>0.12005511187100423</v>
      </c>
      <c r="X181" s="3" t="s">
        <v>709</v>
      </c>
    </row>
    <row r="182" spans="1:29" ht="15" customHeight="1" x14ac:dyDescent="0.3">
      <c r="A182" s="62" t="s">
        <v>710</v>
      </c>
      <c r="B182" s="47" t="s">
        <v>685</v>
      </c>
      <c r="C182" s="49" t="s">
        <v>625</v>
      </c>
      <c r="D182" s="50">
        <v>1980</v>
      </c>
      <c r="E182" s="49">
        <v>129.02000000000001</v>
      </c>
      <c r="F182" s="49">
        <v>121.3</v>
      </c>
      <c r="G182" s="49">
        <v>121.3</v>
      </c>
      <c r="H182" s="49">
        <f t="shared" si="3"/>
        <v>121.3</v>
      </c>
      <c r="I182" s="49">
        <v>12.3</v>
      </c>
      <c r="J182" s="49">
        <v>25.6</v>
      </c>
      <c r="K182" s="49">
        <v>8.5</v>
      </c>
      <c r="L182" s="51">
        <f t="shared" si="13"/>
        <v>14553.170731707318</v>
      </c>
      <c r="M182" s="49">
        <v>14917</v>
      </c>
      <c r="N182" s="49">
        <v>4515</v>
      </c>
      <c r="O182" s="49">
        <v>181</v>
      </c>
      <c r="P182" s="49">
        <f t="shared" si="5"/>
        <v>4.73828125</v>
      </c>
      <c r="Q182" s="49">
        <f t="shared" si="6"/>
        <v>3.0117647058823529</v>
      </c>
      <c r="R182" s="49">
        <f t="shared" si="7"/>
        <v>14.270588235294117</v>
      </c>
      <c r="S182" s="49">
        <f>H182/I182</f>
        <v>9.8617886178861784</v>
      </c>
      <c r="T182" s="52">
        <f t="shared" si="14"/>
        <v>0.55136339819341162</v>
      </c>
      <c r="U182" s="49">
        <v>16.2</v>
      </c>
      <c r="V182" s="49">
        <v>19</v>
      </c>
      <c r="W182" s="63">
        <f t="shared" si="11"/>
        <v>0.2831077875483346</v>
      </c>
      <c r="X182" s="3" t="s">
        <v>669</v>
      </c>
      <c r="Y182">
        <f t="shared" si="9"/>
        <v>4.9683051197400667</v>
      </c>
    </row>
    <row r="183" spans="1:29" s="4" customFormat="1" ht="15" customHeight="1" x14ac:dyDescent="0.3">
      <c r="A183" s="62" t="s">
        <v>711</v>
      </c>
      <c r="B183" s="47" t="s">
        <v>712</v>
      </c>
      <c r="C183" s="49" t="s">
        <v>713</v>
      </c>
      <c r="D183" s="50">
        <v>1980</v>
      </c>
      <c r="E183" s="49"/>
      <c r="F183" s="49">
        <v>57.6</v>
      </c>
      <c r="G183" s="49"/>
      <c r="H183" s="49">
        <f t="shared" si="3"/>
        <v>57.6</v>
      </c>
      <c r="I183" s="49"/>
      <c r="J183" s="49">
        <v>15</v>
      </c>
      <c r="K183" s="49">
        <v>6</v>
      </c>
      <c r="L183" s="51">
        <f t="shared" si="13"/>
        <v>0</v>
      </c>
      <c r="M183" s="49"/>
      <c r="N183" s="49"/>
      <c r="O183" s="49">
        <v>55</v>
      </c>
      <c r="P183" s="49">
        <f t="shared" si="5"/>
        <v>3.8400000000000003</v>
      </c>
      <c r="Q183" s="49">
        <f t="shared" si="6"/>
        <v>2.5</v>
      </c>
      <c r="R183" s="49">
        <f t="shared" si="7"/>
        <v>9.6</v>
      </c>
      <c r="S183" s="49"/>
      <c r="T183" s="52" t="str">
        <f t="shared" si="14"/>
        <v/>
      </c>
      <c r="U183" s="49">
        <v>8.6999999999999993</v>
      </c>
      <c r="V183" s="49">
        <v>16</v>
      </c>
      <c r="W183" s="63">
        <f t="shared" si="11"/>
        <v>0.34596913540789631</v>
      </c>
      <c r="X183" s="3" t="s">
        <v>673</v>
      </c>
      <c r="Y183"/>
      <c r="AC183" s="5"/>
    </row>
    <row r="184" spans="1:29" ht="15" customHeight="1" x14ac:dyDescent="0.3">
      <c r="A184" s="62" t="s">
        <v>714</v>
      </c>
      <c r="B184" s="47" t="s">
        <v>671</v>
      </c>
      <c r="C184" s="49" t="s">
        <v>672</v>
      </c>
      <c r="D184" s="50">
        <v>1979</v>
      </c>
      <c r="E184" s="49">
        <v>98.15</v>
      </c>
      <c r="F184" s="49">
        <v>88.9</v>
      </c>
      <c r="G184" s="49"/>
      <c r="H184" s="49">
        <f t="shared" si="3"/>
        <v>88.9</v>
      </c>
      <c r="I184" s="49"/>
      <c r="J184" s="49">
        <v>19.2</v>
      </c>
      <c r="K184" s="49">
        <v>7.2</v>
      </c>
      <c r="L184" s="51">
        <f t="shared" si="13"/>
        <v>5765.8536585365855</v>
      </c>
      <c r="M184" s="49">
        <v>5910</v>
      </c>
      <c r="N184" s="49"/>
      <c r="O184" s="49">
        <v>115</v>
      </c>
      <c r="P184" s="49">
        <f t="shared" si="5"/>
        <v>4.6302083333333339</v>
      </c>
      <c r="Q184" s="49">
        <f t="shared" si="6"/>
        <v>2.6666666666666665</v>
      </c>
      <c r="R184" s="49">
        <f t="shared" si="7"/>
        <v>12.347222222222223</v>
      </c>
      <c r="S184" s="49"/>
      <c r="T184" s="52">
        <f t="shared" si="14"/>
        <v>0.46916772598547124</v>
      </c>
      <c r="U184" s="49">
        <v>10</v>
      </c>
      <c r="V184" s="49">
        <v>16.7</v>
      </c>
      <c r="W184" s="63">
        <f t="shared" si="11"/>
        <v>0.29066598115584802</v>
      </c>
      <c r="X184" s="3" t="s">
        <v>715</v>
      </c>
      <c r="Y184">
        <f t="shared" si="9"/>
        <v>4.9577035682419002</v>
      </c>
    </row>
    <row r="185" spans="1:29" ht="15" customHeight="1" x14ac:dyDescent="0.3">
      <c r="A185" s="64" t="s">
        <v>716</v>
      </c>
      <c r="B185" s="48" t="s">
        <v>717</v>
      </c>
      <c r="C185" s="53" t="s">
        <v>625</v>
      </c>
      <c r="D185" s="54">
        <v>1979</v>
      </c>
      <c r="E185" s="53">
        <v>90.71</v>
      </c>
      <c r="F185" s="53"/>
      <c r="G185" s="53">
        <v>78.900000000000006</v>
      </c>
      <c r="H185" s="53">
        <f t="shared" si="3"/>
        <v>78.900000000000006</v>
      </c>
      <c r="I185" s="53">
        <v>10.01</v>
      </c>
      <c r="J185" s="53">
        <v>17</v>
      </c>
      <c r="K185" s="53">
        <v>8.5350000000000001</v>
      </c>
      <c r="L185" s="55">
        <f t="shared" si="13"/>
        <v>6752.1951219512202</v>
      </c>
      <c r="M185" s="53">
        <f>2066+4855</f>
        <v>6921</v>
      </c>
      <c r="N185" s="53">
        <v>2066</v>
      </c>
      <c r="O185" s="53">
        <v>196</v>
      </c>
      <c r="P185" s="53">
        <f t="shared" si="5"/>
        <v>4.6411764705882357</v>
      </c>
      <c r="Q185" s="53">
        <f t="shared" si="6"/>
        <v>1.9917984768599883</v>
      </c>
      <c r="R185" s="53">
        <f t="shared" si="7"/>
        <v>9.2442882249560636</v>
      </c>
      <c r="S185" s="53">
        <f>H185/I185</f>
        <v>7.8821178821178828</v>
      </c>
      <c r="T185" s="56">
        <f t="shared" si="14"/>
        <v>0.58981462055529454</v>
      </c>
      <c r="U185" s="53">
        <v>12.5</v>
      </c>
      <c r="V185" s="53">
        <v>10</v>
      </c>
      <c r="W185" s="65">
        <f t="shared" si="11"/>
        <v>0.18475241061642478</v>
      </c>
      <c r="X185" s="6"/>
      <c r="Y185">
        <f t="shared" si="9"/>
        <v>4.1744123049012094</v>
      </c>
    </row>
    <row r="186" spans="1:29" ht="15" customHeight="1" x14ac:dyDescent="0.3">
      <c r="A186" s="62" t="s">
        <v>718</v>
      </c>
      <c r="B186" s="47" t="s">
        <v>719</v>
      </c>
      <c r="C186" s="49" t="s">
        <v>720</v>
      </c>
      <c r="D186" s="50">
        <v>1978</v>
      </c>
      <c r="E186" s="49">
        <v>121.3</v>
      </c>
      <c r="F186" s="49">
        <v>113.4</v>
      </c>
      <c r="G186" s="49"/>
      <c r="H186" s="49">
        <f t="shared" si="3"/>
        <v>113.4</v>
      </c>
      <c r="I186" s="49"/>
      <c r="J186" s="49">
        <v>24.8</v>
      </c>
      <c r="K186" s="49">
        <v>9.5</v>
      </c>
      <c r="L186" s="51">
        <f t="shared" si="13"/>
        <v>14535.609756097561</v>
      </c>
      <c r="M186" s="49">
        <v>14899</v>
      </c>
      <c r="N186" s="49">
        <v>4600</v>
      </c>
      <c r="O186" s="49">
        <v>138</v>
      </c>
      <c r="P186" s="49">
        <f t="shared" si="5"/>
        <v>4.57258064516129</v>
      </c>
      <c r="Q186" s="49">
        <f t="shared" si="6"/>
        <v>2.6105263157894738</v>
      </c>
      <c r="R186" s="49">
        <f t="shared" si="7"/>
        <v>11.936842105263159</v>
      </c>
      <c r="S186" s="49"/>
      <c r="T186" s="52">
        <f t="shared" si="14"/>
        <v>0.54405764096986642</v>
      </c>
      <c r="U186" s="49">
        <v>11.95</v>
      </c>
      <c r="V186" s="49">
        <v>16.5</v>
      </c>
      <c r="W186" s="63">
        <f t="shared" si="11"/>
        <v>0.25427638717932577</v>
      </c>
      <c r="X186" s="3" t="s">
        <v>698</v>
      </c>
      <c r="Y186">
        <f t="shared" si="9"/>
        <v>4.6466001592340831</v>
      </c>
    </row>
    <row r="187" spans="1:29" ht="15" customHeight="1" x14ac:dyDescent="0.3">
      <c r="A187" s="62" t="s">
        <v>721</v>
      </c>
      <c r="B187" s="47" t="s">
        <v>685</v>
      </c>
      <c r="C187" s="49" t="s">
        <v>625</v>
      </c>
      <c r="D187" s="50">
        <v>1978</v>
      </c>
      <c r="E187" s="49">
        <v>134.80000000000001</v>
      </c>
      <c r="F187" s="49">
        <v>125.8</v>
      </c>
      <c r="G187" s="49">
        <v>121.15</v>
      </c>
      <c r="H187" s="49">
        <f t="shared" si="3"/>
        <v>125.8</v>
      </c>
      <c r="I187" s="49">
        <v>12.3</v>
      </c>
      <c r="J187" s="49">
        <v>25.6</v>
      </c>
      <c r="K187" s="49">
        <v>8.5</v>
      </c>
      <c r="L187" s="51">
        <f t="shared" si="13"/>
        <v>15626.341463414636</v>
      </c>
      <c r="M187" s="49">
        <v>16017</v>
      </c>
      <c r="N187" s="49">
        <v>4836</v>
      </c>
      <c r="O187" s="49">
        <v>181</v>
      </c>
      <c r="P187" s="49">
        <f t="shared" si="5"/>
        <v>4.9140625</v>
      </c>
      <c r="Q187" s="49">
        <f t="shared" si="6"/>
        <v>3.0117647058823529</v>
      </c>
      <c r="R187" s="49">
        <f t="shared" si="7"/>
        <v>14.799999999999999</v>
      </c>
      <c r="S187" s="49">
        <f>H187/I187</f>
        <v>10.227642276422763</v>
      </c>
      <c r="T187" s="52">
        <f t="shared" si="14"/>
        <v>0.57084444348137486</v>
      </c>
      <c r="U187" s="49">
        <v>16.2</v>
      </c>
      <c r="V187" s="49">
        <v>19.2</v>
      </c>
      <c r="W187" s="63">
        <f t="shared" si="11"/>
        <v>0.28092443977237491</v>
      </c>
      <c r="X187" s="3" t="s">
        <v>617</v>
      </c>
      <c r="Y187">
        <f t="shared" si="9"/>
        <v>5.0318560030384454</v>
      </c>
    </row>
    <row r="188" spans="1:29" ht="15" customHeight="1" x14ac:dyDescent="0.3">
      <c r="A188" s="62" t="s">
        <v>722</v>
      </c>
      <c r="B188" s="47" t="s">
        <v>671</v>
      </c>
      <c r="C188" s="49" t="s">
        <v>672</v>
      </c>
      <c r="D188" s="50">
        <v>1978</v>
      </c>
      <c r="E188" s="49">
        <v>98.15</v>
      </c>
      <c r="F188" s="49">
        <v>88.9</v>
      </c>
      <c r="G188" s="49"/>
      <c r="H188" s="49">
        <f t="shared" si="3"/>
        <v>88.9</v>
      </c>
      <c r="I188" s="49"/>
      <c r="J188" s="49">
        <v>19.2</v>
      </c>
      <c r="K188" s="49">
        <v>7.2</v>
      </c>
      <c r="L188" s="51">
        <f t="shared" si="13"/>
        <v>5765.8536585365855</v>
      </c>
      <c r="M188" s="49">
        <v>5910</v>
      </c>
      <c r="N188" s="49"/>
      <c r="O188" s="49">
        <v>115</v>
      </c>
      <c r="P188" s="49">
        <f t="shared" si="5"/>
        <v>4.6302083333333339</v>
      </c>
      <c r="Q188" s="49">
        <f t="shared" si="6"/>
        <v>2.6666666666666665</v>
      </c>
      <c r="R188" s="49">
        <f t="shared" si="7"/>
        <v>12.347222222222223</v>
      </c>
      <c r="S188" s="49"/>
      <c r="T188" s="52">
        <f t="shared" si="14"/>
        <v>0.46916772598547124</v>
      </c>
      <c r="U188" s="49">
        <v>10</v>
      </c>
      <c r="V188" s="49">
        <v>16.7</v>
      </c>
      <c r="W188" s="63">
        <f t="shared" si="11"/>
        <v>0.29066598115584802</v>
      </c>
      <c r="X188" s="3" t="s">
        <v>723</v>
      </c>
      <c r="Y188">
        <f t="shared" si="9"/>
        <v>4.9577035682419002</v>
      </c>
    </row>
    <row r="189" spans="1:29" ht="15" customHeight="1" x14ac:dyDescent="0.3">
      <c r="A189" s="62" t="s">
        <v>724</v>
      </c>
      <c r="B189" s="47" t="s">
        <v>725</v>
      </c>
      <c r="C189" s="49" t="s">
        <v>703</v>
      </c>
      <c r="D189" s="50">
        <v>1978</v>
      </c>
      <c r="E189" s="49"/>
      <c r="F189" s="49">
        <v>94</v>
      </c>
      <c r="G189" s="49"/>
      <c r="H189" s="49">
        <f t="shared" si="3"/>
        <v>94</v>
      </c>
      <c r="I189" s="49"/>
      <c r="J189" s="49">
        <v>15.6</v>
      </c>
      <c r="K189" s="49">
        <v>5.5</v>
      </c>
      <c r="L189" s="51">
        <f t="shared" si="13"/>
        <v>4000.0000000000005</v>
      </c>
      <c r="M189" s="49">
        <v>4100</v>
      </c>
      <c r="N189" s="49"/>
      <c r="O189" s="49">
        <v>132</v>
      </c>
      <c r="P189" s="49">
        <f t="shared" si="5"/>
        <v>6.0256410256410255</v>
      </c>
      <c r="Q189" s="49">
        <f t="shared" si="6"/>
        <v>2.8363636363636364</v>
      </c>
      <c r="R189" s="49">
        <f t="shared" si="7"/>
        <v>17.09090909090909</v>
      </c>
      <c r="S189" s="49"/>
      <c r="T189" s="52">
        <f t="shared" si="14"/>
        <v>0.49595794276645355</v>
      </c>
      <c r="U189" s="49">
        <v>11.5</v>
      </c>
      <c r="V189" s="49">
        <v>12.4</v>
      </c>
      <c r="W189" s="63">
        <f t="shared" si="11"/>
        <v>0.20988740287603655</v>
      </c>
      <c r="X189" s="3" t="s">
        <v>726</v>
      </c>
      <c r="Y189">
        <f t="shared" si="9"/>
        <v>5.9216289345059057</v>
      </c>
    </row>
    <row r="190" spans="1:29" ht="15" customHeight="1" x14ac:dyDescent="0.3">
      <c r="A190" s="62" t="s">
        <v>727</v>
      </c>
      <c r="B190" s="47" t="s">
        <v>728</v>
      </c>
      <c r="C190" s="49" t="s">
        <v>625</v>
      </c>
      <c r="D190" s="50">
        <v>1978</v>
      </c>
      <c r="E190" s="49">
        <v>90.72</v>
      </c>
      <c r="F190" s="49">
        <v>84.2</v>
      </c>
      <c r="G190" s="49">
        <v>78.900000000000006</v>
      </c>
      <c r="H190" s="49">
        <f t="shared" si="3"/>
        <v>84.2</v>
      </c>
      <c r="I190" s="49">
        <v>10.01</v>
      </c>
      <c r="J190" s="49">
        <v>17.3</v>
      </c>
      <c r="K190" s="49">
        <v>8.4</v>
      </c>
      <c r="L190" s="51">
        <f t="shared" si="13"/>
        <v>0</v>
      </c>
      <c r="M190" s="49"/>
      <c r="N190" s="49">
        <v>2066</v>
      </c>
      <c r="O190" s="49">
        <v>196</v>
      </c>
      <c r="P190" s="49">
        <f t="shared" si="5"/>
        <v>4.8670520231213876</v>
      </c>
      <c r="Q190" s="49">
        <f t="shared" si="6"/>
        <v>2.0595238095238093</v>
      </c>
      <c r="R190" s="49">
        <f t="shared" si="7"/>
        <v>10.023809523809524</v>
      </c>
      <c r="S190" s="49">
        <f>H190/I190</f>
        <v>8.4115884115884114</v>
      </c>
      <c r="T190" s="52" t="str">
        <f t="shared" si="14"/>
        <v/>
      </c>
      <c r="U190" s="49">
        <v>3.3</v>
      </c>
      <c r="V190" s="49">
        <v>14</v>
      </c>
      <c r="W190" s="63">
        <f t="shared" si="11"/>
        <v>0.25038055930601139</v>
      </c>
      <c r="X190" s="3"/>
    </row>
    <row r="191" spans="1:29" ht="15" customHeight="1" x14ac:dyDescent="0.3">
      <c r="A191" s="62" t="s">
        <v>729</v>
      </c>
      <c r="B191" s="47" t="s">
        <v>730</v>
      </c>
      <c r="C191" s="49" t="s">
        <v>731</v>
      </c>
      <c r="D191" s="50">
        <v>1977</v>
      </c>
      <c r="E191" s="49"/>
      <c r="F191" s="49">
        <v>112</v>
      </c>
      <c r="G191" s="49"/>
      <c r="H191" s="49">
        <f t="shared" ref="H191:H211" si="15">IF(F191="",G191,F191)</f>
        <v>112</v>
      </c>
      <c r="I191" s="49"/>
      <c r="J191" s="49">
        <v>18.100000000000001</v>
      </c>
      <c r="K191" s="49">
        <v>6.05</v>
      </c>
      <c r="L191" s="51"/>
      <c r="M191" s="49">
        <v>13687</v>
      </c>
      <c r="N191" s="49"/>
      <c r="O191" s="49"/>
      <c r="P191" s="49">
        <f t="shared" ref="P191:P211" si="16">H191/J191</f>
        <v>6.1878453038674026</v>
      </c>
      <c r="Q191" s="49">
        <f t="shared" ref="Q191:Q211" si="17">J191/K191</f>
        <v>2.9917355371900829</v>
      </c>
      <c r="R191" s="49">
        <f t="shared" ref="R191:R211" si="18">H191/K191</f>
        <v>18.512396694214878</v>
      </c>
      <c r="S191" s="49"/>
      <c r="T191" s="52">
        <f t="shared" si="14"/>
        <v>0</v>
      </c>
      <c r="U191" s="49">
        <v>4.4800000000000004</v>
      </c>
      <c r="V191" s="49"/>
      <c r="W191" s="63"/>
      <c r="X191" s="3" t="s">
        <v>704</v>
      </c>
    </row>
    <row r="192" spans="1:29" ht="15" customHeight="1" x14ac:dyDescent="0.3">
      <c r="A192" s="62" t="s">
        <v>732</v>
      </c>
      <c r="B192" s="47" t="s">
        <v>633</v>
      </c>
      <c r="C192" s="49" t="s">
        <v>625</v>
      </c>
      <c r="D192" s="50">
        <v>1976</v>
      </c>
      <c r="E192" s="49">
        <v>134.84</v>
      </c>
      <c r="F192" s="49">
        <v>130</v>
      </c>
      <c r="G192" s="49">
        <v>129.81</v>
      </c>
      <c r="H192" s="49">
        <f t="shared" si="15"/>
        <v>130</v>
      </c>
      <c r="I192" s="49">
        <v>16.7</v>
      </c>
      <c r="J192" s="49">
        <v>25.6</v>
      </c>
      <c r="K192" s="49">
        <v>11</v>
      </c>
      <c r="L192" s="51">
        <f t="shared" ref="L192:L211" si="19">M192/1.025</f>
        <v>19753.17073170732</v>
      </c>
      <c r="M192" s="49">
        <v>20247</v>
      </c>
      <c r="N192" s="49">
        <v>7560</v>
      </c>
      <c r="O192" s="49">
        <v>320</v>
      </c>
      <c r="P192" s="49">
        <f t="shared" si="16"/>
        <v>5.078125</v>
      </c>
      <c r="Q192" s="49">
        <f t="shared" si="17"/>
        <v>2.3272727272727276</v>
      </c>
      <c r="R192" s="49">
        <f t="shared" si="18"/>
        <v>11.818181818181818</v>
      </c>
      <c r="S192" s="49">
        <f>H192/I192</f>
        <v>7.7844311377245514</v>
      </c>
      <c r="T192" s="52">
        <f t="shared" si="14"/>
        <v>0.53958617601910297</v>
      </c>
      <c r="U192" s="49">
        <v>26.5</v>
      </c>
      <c r="V192" s="49">
        <v>20.399999999999999</v>
      </c>
      <c r="W192" s="63">
        <f t="shared" ref="W192:W211" si="20">0.514*V192/(9.81*H192)^0.5</f>
        <v>0.29362099536690844</v>
      </c>
      <c r="X192" s="3" t="s">
        <v>715</v>
      </c>
      <c r="Y192">
        <f t="shared" ref="Y192:Y211" si="21">H192/(H192*J192*K192*T192)^(1/3)</f>
        <v>4.8091067027291672</v>
      </c>
    </row>
    <row r="193" spans="1:25" x14ac:dyDescent="0.3">
      <c r="A193" s="62" t="s">
        <v>733</v>
      </c>
      <c r="B193" s="47" t="s">
        <v>621</v>
      </c>
      <c r="C193" s="49" t="s">
        <v>622</v>
      </c>
      <c r="D193" s="50">
        <v>1976</v>
      </c>
      <c r="E193" s="49">
        <v>122</v>
      </c>
      <c r="F193" s="49">
        <v>107.3</v>
      </c>
      <c r="G193" s="49"/>
      <c r="H193" s="49">
        <f t="shared" si="15"/>
        <v>107.3</v>
      </c>
      <c r="I193" s="49"/>
      <c r="J193" s="49">
        <v>23.8</v>
      </c>
      <c r="K193" s="49">
        <v>8.5</v>
      </c>
      <c r="L193" s="51">
        <f t="shared" si="19"/>
        <v>12872.195121951221</v>
      </c>
      <c r="M193" s="49">
        <v>13194</v>
      </c>
      <c r="N193" s="49"/>
      <c r="O193" s="49">
        <v>454</v>
      </c>
      <c r="P193" s="49">
        <f t="shared" si="16"/>
        <v>4.5084033613445378</v>
      </c>
      <c r="Q193" s="49">
        <f t="shared" si="17"/>
        <v>2.8000000000000003</v>
      </c>
      <c r="R193" s="49">
        <f t="shared" si="18"/>
        <v>12.623529411764705</v>
      </c>
      <c r="S193" s="49"/>
      <c r="T193" s="52">
        <f t="shared" si="14"/>
        <v>0.59300316269477071</v>
      </c>
      <c r="U193" s="49">
        <v>44.8</v>
      </c>
      <c r="V193" s="49">
        <v>15</v>
      </c>
      <c r="W193" s="63">
        <f t="shared" si="20"/>
        <v>0.23764025699897592</v>
      </c>
      <c r="X193" s="3"/>
      <c r="Y193">
        <f t="shared" si="21"/>
        <v>4.5784188102107564</v>
      </c>
    </row>
    <row r="194" spans="1:25" ht="15" customHeight="1" x14ac:dyDescent="0.3">
      <c r="A194" s="62" t="s">
        <v>734</v>
      </c>
      <c r="B194" s="47" t="s">
        <v>674</v>
      </c>
      <c r="C194" s="49" t="s">
        <v>590</v>
      </c>
      <c r="D194" s="50">
        <v>1976</v>
      </c>
      <c r="E194" s="49">
        <v>104.6</v>
      </c>
      <c r="F194" s="49">
        <v>96</v>
      </c>
      <c r="G194" s="49"/>
      <c r="H194" s="49">
        <f t="shared" si="15"/>
        <v>96</v>
      </c>
      <c r="I194" s="49"/>
      <c r="J194" s="49">
        <v>22.5</v>
      </c>
      <c r="K194" s="49">
        <v>7.3</v>
      </c>
      <c r="L194" s="51">
        <f t="shared" si="19"/>
        <v>7341.4634146341468</v>
      </c>
      <c r="M194" s="49">
        <v>7525</v>
      </c>
      <c r="N194" s="49"/>
      <c r="O194" s="49">
        <v>185</v>
      </c>
      <c r="P194" s="49">
        <f t="shared" si="16"/>
        <v>4.2666666666666666</v>
      </c>
      <c r="Q194" s="49">
        <f t="shared" si="17"/>
        <v>3.0821917808219177</v>
      </c>
      <c r="R194" s="49">
        <f t="shared" si="18"/>
        <v>13.15068493150685</v>
      </c>
      <c r="S194" s="49"/>
      <c r="T194" s="52">
        <f t="shared" si="14"/>
        <v>0.46559255546893369</v>
      </c>
      <c r="U194" s="49">
        <v>16.2</v>
      </c>
      <c r="V194" s="49">
        <v>18</v>
      </c>
      <c r="W194" s="63">
        <f t="shared" si="20"/>
        <v>0.30148485744072634</v>
      </c>
      <c r="X194" s="3" t="s">
        <v>626</v>
      </c>
      <c r="Y194">
        <f t="shared" si="21"/>
        <v>4.9394321035314874</v>
      </c>
    </row>
    <row r="195" spans="1:25" x14ac:dyDescent="0.3">
      <c r="A195" s="62" t="s">
        <v>735</v>
      </c>
      <c r="B195" s="47" t="s">
        <v>633</v>
      </c>
      <c r="C195" s="49" t="s">
        <v>625</v>
      </c>
      <c r="D195" s="50">
        <v>1975</v>
      </c>
      <c r="E195" s="49">
        <v>134.84</v>
      </c>
      <c r="F195" s="49">
        <v>130</v>
      </c>
      <c r="G195" s="49">
        <v>129.81</v>
      </c>
      <c r="H195" s="49">
        <f t="shared" si="15"/>
        <v>130</v>
      </c>
      <c r="I195" s="49">
        <v>16.7</v>
      </c>
      <c r="J195" s="49">
        <v>25.6</v>
      </c>
      <c r="K195" s="49">
        <v>11</v>
      </c>
      <c r="L195" s="51">
        <f t="shared" si="19"/>
        <v>19753.17073170732</v>
      </c>
      <c r="M195" s="49">
        <v>20247</v>
      </c>
      <c r="N195" s="49">
        <v>7560</v>
      </c>
      <c r="O195" s="49">
        <v>320</v>
      </c>
      <c r="P195" s="49">
        <f t="shared" si="16"/>
        <v>5.078125</v>
      </c>
      <c r="Q195" s="49">
        <f t="shared" si="17"/>
        <v>2.3272727272727276</v>
      </c>
      <c r="R195" s="49">
        <f t="shared" si="18"/>
        <v>11.818181818181818</v>
      </c>
      <c r="S195" s="49">
        <f>H195/I195</f>
        <v>7.7844311377245514</v>
      </c>
      <c r="T195" s="52">
        <f t="shared" si="14"/>
        <v>0.53958617601910297</v>
      </c>
      <c r="U195" s="49">
        <v>26.5</v>
      </c>
      <c r="V195" s="49">
        <v>20.399999999999999</v>
      </c>
      <c r="W195" s="63">
        <f t="shared" si="20"/>
        <v>0.29362099536690844</v>
      </c>
      <c r="X195" s="3" t="s">
        <v>626</v>
      </c>
      <c r="Y195">
        <f t="shared" si="21"/>
        <v>4.8091067027291672</v>
      </c>
    </row>
    <row r="196" spans="1:25" ht="15" customHeight="1" x14ac:dyDescent="0.3">
      <c r="A196" s="62" t="s">
        <v>736</v>
      </c>
      <c r="B196" s="47" t="s">
        <v>674</v>
      </c>
      <c r="C196" s="49" t="s">
        <v>590</v>
      </c>
      <c r="D196" s="50">
        <v>1975</v>
      </c>
      <c r="E196" s="49">
        <v>104.6</v>
      </c>
      <c r="F196" s="49">
        <v>96</v>
      </c>
      <c r="G196" s="49"/>
      <c r="H196" s="49">
        <f t="shared" si="15"/>
        <v>96</v>
      </c>
      <c r="I196" s="49"/>
      <c r="J196" s="49">
        <v>22.5</v>
      </c>
      <c r="K196" s="49">
        <v>7.3</v>
      </c>
      <c r="L196" s="51">
        <f t="shared" si="19"/>
        <v>7341.4634146341468</v>
      </c>
      <c r="M196" s="49">
        <v>7525</v>
      </c>
      <c r="N196" s="49"/>
      <c r="O196" s="49">
        <v>185</v>
      </c>
      <c r="P196" s="49">
        <f t="shared" si="16"/>
        <v>4.2666666666666666</v>
      </c>
      <c r="Q196" s="49">
        <f t="shared" si="17"/>
        <v>3.0821917808219177</v>
      </c>
      <c r="R196" s="49">
        <f t="shared" si="18"/>
        <v>13.15068493150685</v>
      </c>
      <c r="S196" s="49"/>
      <c r="T196" s="52">
        <f t="shared" si="14"/>
        <v>0.46559255546893369</v>
      </c>
      <c r="U196" s="49">
        <v>16.2</v>
      </c>
      <c r="V196" s="49">
        <v>18</v>
      </c>
      <c r="W196" s="63">
        <f t="shared" si="20"/>
        <v>0.30148485744072634</v>
      </c>
      <c r="X196" s="3" t="s">
        <v>737</v>
      </c>
      <c r="Y196">
        <f t="shared" si="21"/>
        <v>4.9394321035314874</v>
      </c>
    </row>
    <row r="197" spans="1:25" ht="15.75" customHeight="1" x14ac:dyDescent="0.3">
      <c r="A197" s="62" t="s">
        <v>738</v>
      </c>
      <c r="B197" s="47" t="s">
        <v>739</v>
      </c>
      <c r="C197" s="49" t="s">
        <v>625</v>
      </c>
      <c r="D197" s="50">
        <v>1974</v>
      </c>
      <c r="E197" s="49">
        <v>134.84</v>
      </c>
      <c r="F197" s="49">
        <v>130</v>
      </c>
      <c r="G197" s="49">
        <v>129.81</v>
      </c>
      <c r="H197" s="49">
        <f t="shared" si="15"/>
        <v>130</v>
      </c>
      <c r="I197" s="49">
        <v>16.72</v>
      </c>
      <c r="J197" s="49">
        <v>25.6</v>
      </c>
      <c r="K197" s="49">
        <v>11</v>
      </c>
      <c r="L197" s="51">
        <f t="shared" si="19"/>
        <v>19753.17073170732</v>
      </c>
      <c r="M197" s="49">
        <v>20247</v>
      </c>
      <c r="N197" s="49">
        <v>7560</v>
      </c>
      <c r="O197" s="49">
        <v>320</v>
      </c>
      <c r="P197" s="49">
        <f t="shared" si="16"/>
        <v>5.078125</v>
      </c>
      <c r="Q197" s="49">
        <f t="shared" si="17"/>
        <v>2.3272727272727276</v>
      </c>
      <c r="R197" s="49">
        <f t="shared" si="18"/>
        <v>11.818181818181818</v>
      </c>
      <c r="S197" s="49">
        <f>H197/I197</f>
        <v>7.7751196172248811</v>
      </c>
      <c r="T197" s="52">
        <f t="shared" si="14"/>
        <v>0.53958617601910297</v>
      </c>
      <c r="U197" s="49">
        <v>26.5</v>
      </c>
      <c r="V197" s="49">
        <v>20.3</v>
      </c>
      <c r="W197" s="63">
        <f t="shared" si="20"/>
        <v>0.29218167676216872</v>
      </c>
      <c r="X197" s="3"/>
      <c r="Y197">
        <f t="shared" si="21"/>
        <v>4.8091067027291672</v>
      </c>
    </row>
    <row r="198" spans="1:25" x14ac:dyDescent="0.3">
      <c r="A198" s="62" t="s">
        <v>740</v>
      </c>
      <c r="B198" s="47" t="s">
        <v>621</v>
      </c>
      <c r="C198" s="49" t="s">
        <v>622</v>
      </c>
      <c r="D198" s="50">
        <v>1973</v>
      </c>
      <c r="E198" s="49">
        <v>122</v>
      </c>
      <c r="F198" s="49">
        <v>107.3</v>
      </c>
      <c r="G198" s="49"/>
      <c r="H198" s="49">
        <f t="shared" si="15"/>
        <v>107.3</v>
      </c>
      <c r="I198" s="49"/>
      <c r="J198" s="49">
        <v>23.8</v>
      </c>
      <c r="K198" s="49">
        <v>8.5</v>
      </c>
      <c r="L198" s="51">
        <f t="shared" si="19"/>
        <v>12872.195121951221</v>
      </c>
      <c r="M198" s="49">
        <v>13194</v>
      </c>
      <c r="N198" s="49"/>
      <c r="O198" s="49">
        <v>454</v>
      </c>
      <c r="P198" s="49">
        <f t="shared" si="16"/>
        <v>4.5084033613445378</v>
      </c>
      <c r="Q198" s="49">
        <f t="shared" si="17"/>
        <v>2.8000000000000003</v>
      </c>
      <c r="R198" s="49">
        <f t="shared" si="18"/>
        <v>12.623529411764705</v>
      </c>
      <c r="S198" s="49"/>
      <c r="T198" s="52">
        <f t="shared" si="14"/>
        <v>0.59300316269477071</v>
      </c>
      <c r="U198" s="49">
        <v>44.8</v>
      </c>
      <c r="V198" s="49">
        <v>15</v>
      </c>
      <c r="W198" s="63">
        <f t="shared" si="20"/>
        <v>0.23764025699897592</v>
      </c>
      <c r="X198" s="3"/>
      <c r="Y198">
        <f t="shared" si="21"/>
        <v>4.5784188102107564</v>
      </c>
    </row>
    <row r="199" spans="1:25" x14ac:dyDescent="0.3">
      <c r="A199" s="62" t="s">
        <v>741</v>
      </c>
      <c r="B199" s="47" t="s">
        <v>624</v>
      </c>
      <c r="C199" s="49" t="s">
        <v>625</v>
      </c>
      <c r="D199" s="50">
        <v>1971</v>
      </c>
      <c r="E199" s="49">
        <v>67.7</v>
      </c>
      <c r="F199" s="49">
        <v>62</v>
      </c>
      <c r="G199" s="49">
        <v>59.5</v>
      </c>
      <c r="H199" s="49">
        <f t="shared" si="15"/>
        <v>62</v>
      </c>
      <c r="I199" s="49">
        <v>8.32</v>
      </c>
      <c r="J199" s="49">
        <v>17.5</v>
      </c>
      <c r="K199" s="49">
        <v>6.2</v>
      </c>
      <c r="L199" s="51">
        <f t="shared" si="19"/>
        <v>3070.2439024390246</v>
      </c>
      <c r="M199" s="49">
        <v>3147</v>
      </c>
      <c r="N199" s="49">
        <v>1092</v>
      </c>
      <c r="O199" s="49">
        <v>54</v>
      </c>
      <c r="P199" s="49">
        <f t="shared" si="16"/>
        <v>3.5428571428571427</v>
      </c>
      <c r="Q199" s="49">
        <f t="shared" si="17"/>
        <v>2.82258064516129</v>
      </c>
      <c r="R199" s="49">
        <f t="shared" si="18"/>
        <v>10</v>
      </c>
      <c r="S199" s="49">
        <f>H199/I199</f>
        <v>7.4519230769230766</v>
      </c>
      <c r="T199" s="52">
        <f t="shared" si="14"/>
        <v>0.4564061100697227</v>
      </c>
      <c r="U199" s="49">
        <v>3.5</v>
      </c>
      <c r="V199" s="49">
        <v>14</v>
      </c>
      <c r="W199" s="63">
        <f t="shared" si="20"/>
        <v>0.29178355160147368</v>
      </c>
      <c r="X199" s="3" t="s">
        <v>652</v>
      </c>
      <c r="Y199">
        <f t="shared" si="21"/>
        <v>4.2658023615288849</v>
      </c>
    </row>
    <row r="200" spans="1:25" x14ac:dyDescent="0.3">
      <c r="A200" s="62" t="s">
        <v>742</v>
      </c>
      <c r="B200" s="47" t="s">
        <v>624</v>
      </c>
      <c r="C200" s="49" t="s">
        <v>625</v>
      </c>
      <c r="D200" s="50">
        <v>1970</v>
      </c>
      <c r="E200" s="49">
        <v>84.5</v>
      </c>
      <c r="F200" s="49">
        <v>79.5</v>
      </c>
      <c r="G200" s="49">
        <v>79.39</v>
      </c>
      <c r="H200" s="49">
        <f t="shared" si="15"/>
        <v>79.5</v>
      </c>
      <c r="I200" s="49">
        <v>9.5</v>
      </c>
      <c r="J200" s="49">
        <v>20.5</v>
      </c>
      <c r="K200" s="49">
        <v>6.2</v>
      </c>
      <c r="L200" s="51">
        <f t="shared" si="19"/>
        <v>5172.6829268292686</v>
      </c>
      <c r="M200" s="49">
        <v>5302</v>
      </c>
      <c r="N200" s="49">
        <v>1024</v>
      </c>
      <c r="O200" s="49">
        <v>108</v>
      </c>
      <c r="P200" s="49">
        <f t="shared" si="16"/>
        <v>3.8780487804878048</v>
      </c>
      <c r="Q200" s="49">
        <f t="shared" si="17"/>
        <v>3.3064516129032255</v>
      </c>
      <c r="R200" s="49">
        <f t="shared" si="18"/>
        <v>12.82258064516129</v>
      </c>
      <c r="S200" s="49">
        <f>H200/I200</f>
        <v>8.3684210526315788</v>
      </c>
      <c r="T200" s="52">
        <f t="shared" si="14"/>
        <v>0.51192127496590789</v>
      </c>
      <c r="U200" s="49">
        <v>8.6999999999999993</v>
      </c>
      <c r="V200" s="49">
        <v>15</v>
      </c>
      <c r="W200" s="63">
        <f t="shared" si="20"/>
        <v>0.27608086693365513</v>
      </c>
      <c r="X200" s="3" t="s">
        <v>605</v>
      </c>
      <c r="Y200">
        <f t="shared" si="21"/>
        <v>4.5968659844632338</v>
      </c>
    </row>
    <row r="201" spans="1:25" x14ac:dyDescent="0.3">
      <c r="A201" s="62" t="s">
        <v>743</v>
      </c>
      <c r="B201" s="47" t="s">
        <v>624</v>
      </c>
      <c r="C201" s="49" t="s">
        <v>625</v>
      </c>
      <c r="D201" s="50">
        <v>1970</v>
      </c>
      <c r="E201" s="49">
        <v>67.7</v>
      </c>
      <c r="F201" s="49">
        <v>62</v>
      </c>
      <c r="G201" s="49">
        <v>59.5</v>
      </c>
      <c r="H201" s="49">
        <f t="shared" si="15"/>
        <v>62</v>
      </c>
      <c r="I201" s="49">
        <v>8.32</v>
      </c>
      <c r="J201" s="49">
        <v>17.5</v>
      </c>
      <c r="K201" s="49">
        <v>6.2</v>
      </c>
      <c r="L201" s="51">
        <f t="shared" si="19"/>
        <v>3070.2439024390246</v>
      </c>
      <c r="M201" s="49">
        <v>3147</v>
      </c>
      <c r="N201" s="49">
        <v>1092</v>
      </c>
      <c r="O201" s="49">
        <v>54</v>
      </c>
      <c r="P201" s="49">
        <f t="shared" si="16"/>
        <v>3.5428571428571427</v>
      </c>
      <c r="Q201" s="49">
        <f t="shared" si="17"/>
        <v>2.82258064516129</v>
      </c>
      <c r="R201" s="49">
        <f t="shared" si="18"/>
        <v>10</v>
      </c>
      <c r="S201" s="49">
        <f>H201/I201</f>
        <v>7.4519230769230766</v>
      </c>
      <c r="T201" s="52">
        <f t="shared" si="14"/>
        <v>0.4564061100697227</v>
      </c>
      <c r="U201" s="49">
        <v>3.5</v>
      </c>
      <c r="V201" s="49">
        <v>14</v>
      </c>
      <c r="W201" s="63">
        <f t="shared" si="20"/>
        <v>0.29178355160147368</v>
      </c>
      <c r="X201" s="3"/>
      <c r="Y201">
        <f t="shared" si="21"/>
        <v>4.2658023615288849</v>
      </c>
    </row>
    <row r="202" spans="1:25" x14ac:dyDescent="0.3">
      <c r="A202" s="62" t="s">
        <v>744</v>
      </c>
      <c r="B202" s="47" t="s">
        <v>745</v>
      </c>
      <c r="C202" s="49" t="s">
        <v>689</v>
      </c>
      <c r="D202" s="50">
        <v>1969</v>
      </c>
      <c r="E202" s="49"/>
      <c r="F202" s="49">
        <v>89.2</v>
      </c>
      <c r="G202" s="49"/>
      <c r="H202" s="49">
        <f t="shared" si="15"/>
        <v>89.2</v>
      </c>
      <c r="I202" s="49"/>
      <c r="J202" s="49">
        <v>19.100000000000001</v>
      </c>
      <c r="K202" s="49">
        <v>6.3</v>
      </c>
      <c r="L202" s="51">
        <f t="shared" si="19"/>
        <v>0</v>
      </c>
      <c r="M202" s="49"/>
      <c r="N202" s="49"/>
      <c r="O202" s="49">
        <v>112</v>
      </c>
      <c r="P202" s="49">
        <f t="shared" si="16"/>
        <v>4.670157068062827</v>
      </c>
      <c r="Q202" s="49">
        <f t="shared" si="17"/>
        <v>3.0317460317460321</v>
      </c>
      <c r="R202" s="49">
        <f t="shared" si="18"/>
        <v>14.15873015873016</v>
      </c>
      <c r="S202" s="49"/>
      <c r="T202" s="52" t="str">
        <f t="shared" si="14"/>
        <v/>
      </c>
      <c r="U202" s="49">
        <v>8.8000000000000007</v>
      </c>
      <c r="V202" s="49">
        <v>15.4</v>
      </c>
      <c r="W202" s="63">
        <f t="shared" si="20"/>
        <v>0.26758816967596283</v>
      </c>
      <c r="X202" s="3" t="s">
        <v>626</v>
      </c>
    </row>
    <row r="203" spans="1:25" x14ac:dyDescent="0.3">
      <c r="A203" s="62" t="s">
        <v>746</v>
      </c>
      <c r="B203" s="47" t="s">
        <v>671</v>
      </c>
      <c r="C203" s="49" t="s">
        <v>672</v>
      </c>
      <c r="D203" s="50">
        <v>1969</v>
      </c>
      <c r="E203" s="49">
        <v>119.8</v>
      </c>
      <c r="F203" s="49">
        <v>101.9</v>
      </c>
      <c r="G203" s="49"/>
      <c r="H203" s="49">
        <f t="shared" si="15"/>
        <v>101.9</v>
      </c>
      <c r="I203" s="49">
        <v>16.3</v>
      </c>
      <c r="J203" s="49">
        <v>23.8</v>
      </c>
      <c r="K203" s="49">
        <v>9.9</v>
      </c>
      <c r="L203" s="51">
        <f t="shared" si="19"/>
        <v>14950.243902439026</v>
      </c>
      <c r="M203" s="49">
        <v>15324</v>
      </c>
      <c r="N203" s="49">
        <v>4640</v>
      </c>
      <c r="O203" s="49">
        <v>202</v>
      </c>
      <c r="P203" s="49">
        <f t="shared" si="16"/>
        <v>4.2815126050420167</v>
      </c>
      <c r="Q203" s="49">
        <f t="shared" si="17"/>
        <v>2.404040404040404</v>
      </c>
      <c r="R203" s="49">
        <f t="shared" si="18"/>
        <v>10.292929292929292</v>
      </c>
      <c r="S203" s="49">
        <f>H203/I203</f>
        <v>6.2515337423312882</v>
      </c>
      <c r="T203" s="52">
        <f t="shared" si="14"/>
        <v>0.62267573527804176</v>
      </c>
      <c r="U203" s="49">
        <v>17.7</v>
      </c>
      <c r="V203" s="49">
        <v>16</v>
      </c>
      <c r="W203" s="63">
        <f t="shared" si="20"/>
        <v>0.26011266934709754</v>
      </c>
      <c r="X203" s="3" t="s">
        <v>747</v>
      </c>
      <c r="Y203">
        <f t="shared" si="21"/>
        <v>4.1364212259494479</v>
      </c>
    </row>
    <row r="204" spans="1:25" x14ac:dyDescent="0.3">
      <c r="A204" s="62" t="s">
        <v>748</v>
      </c>
      <c r="B204" s="47" t="s">
        <v>712</v>
      </c>
      <c r="C204" s="49" t="s">
        <v>713</v>
      </c>
      <c r="D204" s="50">
        <v>1966</v>
      </c>
      <c r="E204" s="49">
        <v>77</v>
      </c>
      <c r="F204" s="49">
        <v>68</v>
      </c>
      <c r="G204" s="49"/>
      <c r="H204" s="49">
        <f t="shared" si="15"/>
        <v>68</v>
      </c>
      <c r="I204" s="49"/>
      <c r="J204" s="49">
        <v>17</v>
      </c>
      <c r="K204" s="49">
        <v>6</v>
      </c>
      <c r="L204" s="51">
        <f t="shared" si="19"/>
        <v>3595.1219512195125</v>
      </c>
      <c r="M204" s="49">
        <v>3685</v>
      </c>
      <c r="N204" s="49"/>
      <c r="O204" s="49">
        <v>96</v>
      </c>
      <c r="P204" s="49">
        <f t="shared" si="16"/>
        <v>4</v>
      </c>
      <c r="Q204" s="49">
        <f t="shared" si="17"/>
        <v>2.8333333333333335</v>
      </c>
      <c r="R204" s="49">
        <f t="shared" si="18"/>
        <v>11.333333333333334</v>
      </c>
      <c r="S204" s="49"/>
      <c r="T204" s="52">
        <f t="shared" si="14"/>
        <v>0.51832784763833806</v>
      </c>
      <c r="U204" s="49">
        <v>8.6999999999999993</v>
      </c>
      <c r="V204" s="49">
        <v>18</v>
      </c>
      <c r="W204" s="63">
        <f t="shared" si="20"/>
        <v>0.35821738900752964</v>
      </c>
      <c r="X204" s="3" t="s">
        <v>749</v>
      </c>
      <c r="Y204">
        <f t="shared" si="21"/>
        <v>4.4388558028173479</v>
      </c>
    </row>
    <row r="205" spans="1:25" x14ac:dyDescent="0.3">
      <c r="A205" s="62" t="s">
        <v>750</v>
      </c>
      <c r="B205" s="47" t="s">
        <v>712</v>
      </c>
      <c r="C205" s="49" t="s">
        <v>713</v>
      </c>
      <c r="D205" s="50">
        <v>1965</v>
      </c>
      <c r="E205" s="49">
        <v>77</v>
      </c>
      <c r="F205" s="49">
        <v>68</v>
      </c>
      <c r="G205" s="49"/>
      <c r="H205" s="49">
        <f t="shared" si="15"/>
        <v>68</v>
      </c>
      <c r="I205" s="49"/>
      <c r="J205" s="49">
        <v>17</v>
      </c>
      <c r="K205" s="49">
        <v>6</v>
      </c>
      <c r="L205" s="51">
        <f t="shared" si="19"/>
        <v>3595.1219512195125</v>
      </c>
      <c r="M205" s="49">
        <v>3685</v>
      </c>
      <c r="N205" s="49"/>
      <c r="O205" s="49">
        <v>96</v>
      </c>
      <c r="P205" s="49">
        <f t="shared" si="16"/>
        <v>4</v>
      </c>
      <c r="Q205" s="49">
        <f t="shared" si="17"/>
        <v>2.8333333333333335</v>
      </c>
      <c r="R205" s="49">
        <f t="shared" si="18"/>
        <v>11.333333333333334</v>
      </c>
      <c r="S205" s="49"/>
      <c r="T205" s="52">
        <f t="shared" si="14"/>
        <v>0.51832784763833806</v>
      </c>
      <c r="U205" s="49">
        <v>8.6999999999999993</v>
      </c>
      <c r="V205" s="49">
        <v>18</v>
      </c>
      <c r="W205" s="63">
        <f t="shared" si="20"/>
        <v>0.35821738900752964</v>
      </c>
      <c r="X205" s="3" t="s">
        <v>751</v>
      </c>
      <c r="Y205">
        <f t="shared" si="21"/>
        <v>4.4388558028173479</v>
      </c>
    </row>
    <row r="206" spans="1:25" x14ac:dyDescent="0.3">
      <c r="A206" s="62" t="s">
        <v>752</v>
      </c>
      <c r="B206" s="47" t="s">
        <v>624</v>
      </c>
      <c r="C206" s="49" t="s">
        <v>625</v>
      </c>
      <c r="D206" s="50">
        <v>1965</v>
      </c>
      <c r="E206" s="49">
        <v>67.7</v>
      </c>
      <c r="F206" s="49">
        <v>62</v>
      </c>
      <c r="G206" s="49">
        <v>59.5</v>
      </c>
      <c r="H206" s="49">
        <f t="shared" si="15"/>
        <v>62</v>
      </c>
      <c r="I206" s="49">
        <v>8.32</v>
      </c>
      <c r="J206" s="49">
        <v>17.5</v>
      </c>
      <c r="K206" s="49">
        <v>6.2</v>
      </c>
      <c r="L206" s="51">
        <f t="shared" si="19"/>
        <v>3070.2439024390246</v>
      </c>
      <c r="M206" s="49">
        <v>3147</v>
      </c>
      <c r="N206" s="49">
        <v>1092</v>
      </c>
      <c r="O206" s="49">
        <v>54</v>
      </c>
      <c r="P206" s="49">
        <f t="shared" si="16"/>
        <v>3.5428571428571427</v>
      </c>
      <c r="Q206" s="49">
        <f t="shared" si="17"/>
        <v>2.82258064516129</v>
      </c>
      <c r="R206" s="49">
        <f t="shared" si="18"/>
        <v>10</v>
      </c>
      <c r="S206" s="49">
        <f>H206/I206</f>
        <v>7.4519230769230766</v>
      </c>
      <c r="T206" s="52">
        <f t="shared" si="14"/>
        <v>0.4564061100697227</v>
      </c>
      <c r="U206" s="49">
        <v>3.5</v>
      </c>
      <c r="V206" s="49">
        <v>14</v>
      </c>
      <c r="W206" s="63">
        <f t="shared" si="20"/>
        <v>0.29178355160147368</v>
      </c>
      <c r="X206" s="3" t="s">
        <v>753</v>
      </c>
      <c r="Y206">
        <f t="shared" si="21"/>
        <v>4.2658023615288849</v>
      </c>
    </row>
    <row r="207" spans="1:25" x14ac:dyDescent="0.3">
      <c r="A207" s="62" t="s">
        <v>754</v>
      </c>
      <c r="B207" s="47" t="s">
        <v>624</v>
      </c>
      <c r="C207" s="49" t="s">
        <v>625</v>
      </c>
      <c r="D207" s="50">
        <v>1964</v>
      </c>
      <c r="E207" s="49">
        <v>67.7</v>
      </c>
      <c r="F207" s="49">
        <v>62</v>
      </c>
      <c r="G207" s="49">
        <v>59.5</v>
      </c>
      <c r="H207" s="49">
        <f t="shared" si="15"/>
        <v>62</v>
      </c>
      <c r="I207" s="49">
        <v>8.32</v>
      </c>
      <c r="J207" s="49">
        <v>17.5</v>
      </c>
      <c r="K207" s="49">
        <v>6.2</v>
      </c>
      <c r="L207" s="51">
        <f t="shared" si="19"/>
        <v>3070.2439024390246</v>
      </c>
      <c r="M207" s="49">
        <v>3147</v>
      </c>
      <c r="N207" s="49">
        <v>1092</v>
      </c>
      <c r="O207" s="49">
        <v>54</v>
      </c>
      <c r="P207" s="49">
        <f t="shared" si="16"/>
        <v>3.5428571428571427</v>
      </c>
      <c r="Q207" s="49">
        <f t="shared" si="17"/>
        <v>2.82258064516129</v>
      </c>
      <c r="R207" s="49">
        <f t="shared" si="18"/>
        <v>10</v>
      </c>
      <c r="S207" s="49">
        <f>H207/I207</f>
        <v>7.4519230769230766</v>
      </c>
      <c r="T207" s="52">
        <f t="shared" si="14"/>
        <v>0.4564061100697227</v>
      </c>
      <c r="U207" s="49">
        <v>3.5</v>
      </c>
      <c r="V207" s="49">
        <v>14</v>
      </c>
      <c r="W207" s="63">
        <f t="shared" si="20"/>
        <v>0.29178355160147368</v>
      </c>
      <c r="X207" s="3" t="s">
        <v>605</v>
      </c>
      <c r="Y207">
        <f t="shared" si="21"/>
        <v>4.2658023615288849</v>
      </c>
    </row>
    <row r="208" spans="1:25" x14ac:dyDescent="0.3">
      <c r="A208" s="62" t="s">
        <v>755</v>
      </c>
      <c r="B208" s="47" t="s">
        <v>624</v>
      </c>
      <c r="C208" s="49" t="s">
        <v>625</v>
      </c>
      <c r="D208" s="50">
        <v>1964</v>
      </c>
      <c r="E208" s="49">
        <v>84.5</v>
      </c>
      <c r="F208" s="49">
        <v>79.5</v>
      </c>
      <c r="G208" s="49">
        <v>79.39</v>
      </c>
      <c r="H208" s="49">
        <f t="shared" si="15"/>
        <v>79.5</v>
      </c>
      <c r="I208" s="49">
        <v>9.5</v>
      </c>
      <c r="J208" s="49">
        <v>20.5</v>
      </c>
      <c r="K208" s="49">
        <v>6.2</v>
      </c>
      <c r="L208" s="51">
        <f t="shared" si="19"/>
        <v>5172.6829268292686</v>
      </c>
      <c r="M208" s="49">
        <v>5302</v>
      </c>
      <c r="N208" s="49">
        <v>1024</v>
      </c>
      <c r="O208" s="49">
        <v>108</v>
      </c>
      <c r="P208" s="49">
        <f t="shared" si="16"/>
        <v>3.8780487804878048</v>
      </c>
      <c r="Q208" s="49">
        <f t="shared" si="17"/>
        <v>3.3064516129032255</v>
      </c>
      <c r="R208" s="49">
        <f t="shared" si="18"/>
        <v>12.82258064516129</v>
      </c>
      <c r="S208" s="49">
        <f>H208/I208</f>
        <v>8.3684210526315788</v>
      </c>
      <c r="T208" s="52">
        <f t="shared" si="14"/>
        <v>0.51192127496590789</v>
      </c>
      <c r="U208" s="49">
        <v>8.6999999999999993</v>
      </c>
      <c r="V208" s="49">
        <v>15</v>
      </c>
      <c r="W208" s="63">
        <f t="shared" si="20"/>
        <v>0.27608086693365513</v>
      </c>
      <c r="X208" s="3"/>
      <c r="Y208">
        <f t="shared" si="21"/>
        <v>4.5968659844632338</v>
      </c>
    </row>
    <row r="209" spans="1:28" x14ac:dyDescent="0.3">
      <c r="A209" s="62" t="s">
        <v>756</v>
      </c>
      <c r="B209" s="47" t="s">
        <v>707</v>
      </c>
      <c r="C209" s="49" t="s">
        <v>708</v>
      </c>
      <c r="D209" s="50">
        <v>1963</v>
      </c>
      <c r="E209" s="49">
        <v>84</v>
      </c>
      <c r="F209" s="49">
        <v>82</v>
      </c>
      <c r="G209" s="49"/>
      <c r="H209" s="49">
        <f t="shared" si="15"/>
        <v>82</v>
      </c>
      <c r="I209" s="49"/>
      <c r="J209" s="49">
        <v>21.2</v>
      </c>
      <c r="K209" s="49">
        <v>7.4</v>
      </c>
      <c r="L209" s="51">
        <f t="shared" si="19"/>
        <v>0</v>
      </c>
      <c r="M209" s="49"/>
      <c r="N209" s="49">
        <v>1585</v>
      </c>
      <c r="O209" s="49">
        <v>108</v>
      </c>
      <c r="P209" s="49">
        <f t="shared" si="16"/>
        <v>3.867924528301887</v>
      </c>
      <c r="Q209" s="49">
        <f t="shared" si="17"/>
        <v>2.8648648648648645</v>
      </c>
      <c r="R209" s="49">
        <f t="shared" si="18"/>
        <v>11.081081081081081</v>
      </c>
      <c r="S209" s="49"/>
      <c r="T209" s="52" t="str">
        <f t="shared" si="14"/>
        <v/>
      </c>
      <c r="U209" s="49">
        <v>8.4</v>
      </c>
      <c r="V209" s="49">
        <v>10</v>
      </c>
      <c r="W209" s="63">
        <f t="shared" si="20"/>
        <v>0.18122649417756173</v>
      </c>
      <c r="X209" s="3" t="s">
        <v>757</v>
      </c>
    </row>
    <row r="210" spans="1:28" x14ac:dyDescent="0.3">
      <c r="A210" s="62" t="s">
        <v>758</v>
      </c>
      <c r="B210" s="47" t="s">
        <v>624</v>
      </c>
      <c r="C210" s="49" t="s">
        <v>625</v>
      </c>
      <c r="D210" s="50">
        <v>1958</v>
      </c>
      <c r="E210" s="49">
        <v>74.150000000000006</v>
      </c>
      <c r="F210" s="49">
        <v>68.3</v>
      </c>
      <c r="G210" s="49">
        <v>67.540000000000006</v>
      </c>
      <c r="H210" s="49">
        <f t="shared" si="15"/>
        <v>68.3</v>
      </c>
      <c r="I210" s="49">
        <v>8.8000000000000007</v>
      </c>
      <c r="J210" s="49">
        <v>16.7</v>
      </c>
      <c r="K210" s="49">
        <v>5.8</v>
      </c>
      <c r="L210" s="51">
        <f t="shared" si="19"/>
        <v>3509.268292682927</v>
      </c>
      <c r="M210" s="49">
        <v>3597</v>
      </c>
      <c r="N210" s="49">
        <v>733</v>
      </c>
      <c r="O210" s="49">
        <v>70</v>
      </c>
      <c r="P210" s="49">
        <f t="shared" si="16"/>
        <v>4.0898203592814371</v>
      </c>
      <c r="Q210" s="49">
        <f t="shared" si="17"/>
        <v>2.8793103448275863</v>
      </c>
      <c r="R210" s="49">
        <f t="shared" si="18"/>
        <v>11.775862068965518</v>
      </c>
      <c r="S210" s="49">
        <f>H210/I210</f>
        <v>7.7613636363636358</v>
      </c>
      <c r="T210" s="52">
        <f t="shared" si="14"/>
        <v>0.5304584891936116</v>
      </c>
      <c r="U210" s="49">
        <v>5.5</v>
      </c>
      <c r="V210" s="49">
        <v>13</v>
      </c>
      <c r="W210" s="63">
        <f t="shared" si="20"/>
        <v>0.25814375065499223</v>
      </c>
      <c r="X210" s="3" t="s">
        <v>759</v>
      </c>
      <c r="Y210">
        <f t="shared" si="21"/>
        <v>4.494504775455276</v>
      </c>
    </row>
    <row r="211" spans="1:28" ht="13.5" customHeight="1" thickBot="1" x14ac:dyDescent="0.35">
      <c r="A211" s="66" t="s">
        <v>760</v>
      </c>
      <c r="B211" s="67" t="s">
        <v>674</v>
      </c>
      <c r="C211" s="68" t="s">
        <v>590</v>
      </c>
      <c r="D211" s="69">
        <v>1954</v>
      </c>
      <c r="E211" s="68"/>
      <c r="F211" s="68">
        <v>83.5</v>
      </c>
      <c r="G211" s="68">
        <v>79.81</v>
      </c>
      <c r="H211" s="68">
        <f t="shared" si="15"/>
        <v>83.5</v>
      </c>
      <c r="I211" s="68">
        <v>9.5</v>
      </c>
      <c r="J211" s="68">
        <v>18.7</v>
      </c>
      <c r="K211" s="68">
        <v>7</v>
      </c>
      <c r="L211" s="70">
        <f t="shared" si="19"/>
        <v>5081.9512195121952</v>
      </c>
      <c r="M211" s="68">
        <v>5209</v>
      </c>
      <c r="N211" s="68">
        <v>4486</v>
      </c>
      <c r="O211" s="68">
        <v>113</v>
      </c>
      <c r="P211" s="68">
        <f t="shared" si="16"/>
        <v>4.4652406417112305</v>
      </c>
      <c r="Q211" s="68">
        <f t="shared" si="17"/>
        <v>2.6714285714285713</v>
      </c>
      <c r="R211" s="68">
        <f t="shared" si="18"/>
        <v>11.928571428571429</v>
      </c>
      <c r="S211" s="68">
        <f>H211/I211</f>
        <v>8.7894736842105257</v>
      </c>
      <c r="T211" s="71">
        <f t="shared" si="14"/>
        <v>0.46494798511568419</v>
      </c>
      <c r="U211" s="68">
        <v>10.199999999999999</v>
      </c>
      <c r="V211" s="68">
        <v>16</v>
      </c>
      <c r="W211" s="72">
        <f t="shared" si="20"/>
        <v>0.28734613517543189</v>
      </c>
      <c r="X211" s="3" t="s">
        <v>761</v>
      </c>
      <c r="Y211">
        <f t="shared" si="21"/>
        <v>4.8567190150138515</v>
      </c>
    </row>
    <row r="212" spans="1:28" x14ac:dyDescent="0.3">
      <c r="A212" s="149" t="s">
        <v>762</v>
      </c>
      <c r="B212" s="150"/>
      <c r="C212" s="151"/>
      <c r="D212" s="150">
        <v>1995</v>
      </c>
      <c r="E212" s="151"/>
      <c r="F212" s="151"/>
      <c r="G212" s="151"/>
      <c r="H212" s="151">
        <v>42.3</v>
      </c>
      <c r="I212" s="151"/>
      <c r="J212" s="151">
        <v>10</v>
      </c>
      <c r="K212" s="151">
        <v>1.57</v>
      </c>
      <c r="L212" s="152"/>
      <c r="M212" s="151"/>
      <c r="N212" s="151"/>
      <c r="O212" s="151"/>
      <c r="P212" s="151">
        <f>H212/J212</f>
        <v>4.2299999999999995</v>
      </c>
      <c r="Q212" s="151">
        <f>J212/K212</f>
        <v>6.3694267515923562</v>
      </c>
      <c r="R212" s="151">
        <f>H212/K212</f>
        <v>26.942675159235666</v>
      </c>
      <c r="S212" s="151"/>
      <c r="T212" s="153"/>
      <c r="U212" s="151">
        <v>0.7</v>
      </c>
      <c r="V212" s="151"/>
      <c r="W212" s="154"/>
      <c r="X212" s="3"/>
      <c r="Z212" s="267" t="s">
        <v>763</v>
      </c>
      <c r="AA212" s="268"/>
      <c r="AB212" s="269"/>
    </row>
    <row r="213" spans="1:28" x14ac:dyDescent="0.3">
      <c r="A213" s="155" t="s">
        <v>764</v>
      </c>
      <c r="B213" s="156"/>
      <c r="C213" s="157"/>
      <c r="D213" s="156">
        <v>1998</v>
      </c>
      <c r="E213" s="157"/>
      <c r="F213" s="157"/>
      <c r="G213" s="157"/>
      <c r="H213" s="157">
        <v>65.099999999999994</v>
      </c>
      <c r="I213" s="157"/>
      <c r="J213" s="157">
        <v>16.399999999999999</v>
      </c>
      <c r="K213" s="157">
        <v>2.9</v>
      </c>
      <c r="L213" s="158"/>
      <c r="M213" s="157"/>
      <c r="N213" s="157"/>
      <c r="O213" s="157"/>
      <c r="P213" s="157">
        <f>H213/J213</f>
        <v>3.9695121951219514</v>
      </c>
      <c r="Q213" s="157">
        <f>J213/K213</f>
        <v>5.6551724137931032</v>
      </c>
      <c r="R213" s="157">
        <f>H213/K213</f>
        <v>22.448275862068964</v>
      </c>
      <c r="S213" s="157"/>
      <c r="T213" s="159"/>
      <c r="U213" s="157">
        <v>1.9</v>
      </c>
      <c r="V213" s="157"/>
      <c r="W213" s="160"/>
      <c r="Z213" s="270"/>
      <c r="AA213" s="271"/>
      <c r="AB213" s="272"/>
    </row>
    <row r="214" spans="1:28" x14ac:dyDescent="0.3">
      <c r="A214" s="155" t="s">
        <v>765</v>
      </c>
      <c r="B214" s="156"/>
      <c r="C214" s="157"/>
      <c r="D214" s="156">
        <v>2016</v>
      </c>
      <c r="E214" s="157"/>
      <c r="F214" s="157"/>
      <c r="G214" s="157"/>
      <c r="H214" s="157">
        <v>146.80000000000001</v>
      </c>
      <c r="I214" s="157"/>
      <c r="J214" s="157">
        <v>29</v>
      </c>
      <c r="K214" s="157">
        <v>8.5</v>
      </c>
      <c r="L214" s="158"/>
      <c r="M214" s="157"/>
      <c r="N214" s="157"/>
      <c r="O214" s="157"/>
      <c r="P214" s="157">
        <f>H214/J214</f>
        <v>5.0620689655172422</v>
      </c>
      <c r="Q214" s="157">
        <f>J214/K214</f>
        <v>3.4117647058823528</v>
      </c>
      <c r="R214" s="157">
        <f>H214/K214</f>
        <v>17.27058823529412</v>
      </c>
      <c r="S214" s="157"/>
      <c r="T214" s="159"/>
      <c r="U214" s="157">
        <v>8.6999999999999993</v>
      </c>
      <c r="V214" s="157"/>
      <c r="W214" s="160"/>
      <c r="Z214" s="270"/>
      <c r="AA214" s="271"/>
      <c r="AB214" s="272"/>
    </row>
    <row r="215" spans="1:28" x14ac:dyDescent="0.3">
      <c r="A215" s="155" t="s">
        <v>766</v>
      </c>
      <c r="B215" s="156"/>
      <c r="C215" s="157"/>
      <c r="D215" s="156">
        <v>2018</v>
      </c>
      <c r="E215" s="157"/>
      <c r="F215" s="157"/>
      <c r="G215" s="157"/>
      <c r="H215" s="157">
        <v>121.7</v>
      </c>
      <c r="I215" s="157"/>
      <c r="J215" s="157">
        <v>25</v>
      </c>
      <c r="K215" s="157">
        <v>8</v>
      </c>
      <c r="L215" s="158"/>
      <c r="M215" s="157"/>
      <c r="N215" s="157"/>
      <c r="O215" s="157"/>
      <c r="P215" s="157">
        <f>H215/J215</f>
        <v>4.8680000000000003</v>
      </c>
      <c r="Q215" s="157">
        <f>J215/K215</f>
        <v>3.125</v>
      </c>
      <c r="R215" s="157">
        <f>H215/K215</f>
        <v>15.2125</v>
      </c>
      <c r="S215" s="157"/>
      <c r="T215" s="159"/>
      <c r="U215" s="157">
        <v>7.5</v>
      </c>
      <c r="V215" s="157"/>
      <c r="W215" s="160"/>
      <c r="Z215" s="270"/>
      <c r="AA215" s="271"/>
      <c r="AB215" s="272"/>
    </row>
    <row r="216" spans="1:28" ht="15" thickBot="1" x14ac:dyDescent="0.35">
      <c r="A216" s="161" t="s">
        <v>620</v>
      </c>
      <c r="B216" s="162"/>
      <c r="C216" s="163"/>
      <c r="D216" s="162">
        <v>2005</v>
      </c>
      <c r="E216" s="163"/>
      <c r="F216" s="163"/>
      <c r="G216" s="168"/>
      <c r="H216" s="168">
        <v>73</v>
      </c>
      <c r="I216" s="168"/>
      <c r="J216" s="168">
        <v>17.8</v>
      </c>
      <c r="K216" s="168">
        <v>4.9000000000000004</v>
      </c>
      <c r="L216" s="164"/>
      <c r="M216" s="163"/>
      <c r="N216" s="163"/>
      <c r="O216" s="163"/>
      <c r="P216" s="163">
        <f>H216/J216</f>
        <v>4.1011235955056176</v>
      </c>
      <c r="Q216" s="163">
        <f>J216/K216</f>
        <v>3.6326530612244898</v>
      </c>
      <c r="R216" s="163">
        <f>H216/K216</f>
        <v>14.897959183673468</v>
      </c>
      <c r="S216" s="163"/>
      <c r="T216" s="165"/>
      <c r="U216" s="163">
        <v>6.8</v>
      </c>
      <c r="V216" s="163"/>
      <c r="W216" s="166"/>
      <c r="Z216" s="273"/>
      <c r="AA216" s="274"/>
      <c r="AB216" s="275"/>
    </row>
    <row r="217" spans="1:28" x14ac:dyDescent="0.3">
      <c r="G217" s="46"/>
      <c r="H217" s="169"/>
      <c r="I217" s="169"/>
      <c r="J217" s="169"/>
      <c r="K217" s="169"/>
      <c r="AA217" s="3"/>
    </row>
    <row r="218" spans="1:28" x14ac:dyDescent="0.3">
      <c r="G218" s="46"/>
      <c r="H218" s="169"/>
      <c r="I218" s="169"/>
      <c r="J218" s="169"/>
      <c r="K218" s="169"/>
    </row>
    <row r="219" spans="1:28" x14ac:dyDescent="0.3">
      <c r="A219"/>
      <c r="B219"/>
      <c r="D219"/>
      <c r="G219" s="46"/>
      <c r="H219" s="169"/>
      <c r="I219" s="169"/>
      <c r="J219" s="169"/>
      <c r="K219" s="169"/>
      <c r="T219"/>
      <c r="W219"/>
    </row>
    <row r="220" spans="1:28" x14ac:dyDescent="0.3">
      <c r="G220" s="46"/>
      <c r="H220" s="169"/>
      <c r="I220" s="169"/>
      <c r="J220" s="169"/>
      <c r="K220" s="169"/>
    </row>
    <row r="221" spans="1:28" x14ac:dyDescent="0.3">
      <c r="G221" s="46"/>
      <c r="H221" s="169"/>
      <c r="I221" s="169"/>
      <c r="J221" s="169"/>
      <c r="K221" s="169"/>
    </row>
    <row r="222" spans="1:28" x14ac:dyDescent="0.3">
      <c r="G222" s="46"/>
      <c r="H222" s="169"/>
      <c r="I222" s="169"/>
      <c r="J222" s="169"/>
      <c r="K222" s="169"/>
    </row>
    <row r="223" spans="1:28" x14ac:dyDescent="0.3">
      <c r="G223" s="46"/>
      <c r="H223" s="169"/>
      <c r="I223" s="169"/>
      <c r="J223" s="169"/>
      <c r="K223" s="169"/>
    </row>
    <row r="224" spans="1:28" x14ac:dyDescent="0.3">
      <c r="G224" s="46"/>
      <c r="H224" s="169"/>
      <c r="I224" s="169"/>
      <c r="J224" s="169"/>
      <c r="K224" s="169"/>
    </row>
    <row r="225" spans="7:24" x14ac:dyDescent="0.3">
      <c r="G225" s="46"/>
      <c r="H225" s="169"/>
      <c r="I225" s="169"/>
      <c r="J225" s="169"/>
      <c r="K225" s="169"/>
    </row>
    <row r="226" spans="7:24" x14ac:dyDescent="0.3">
      <c r="G226" s="46"/>
      <c r="H226" s="169"/>
      <c r="I226" s="169"/>
      <c r="J226" s="169"/>
      <c r="K226" s="169"/>
    </row>
    <row r="227" spans="7:24" x14ac:dyDescent="0.3">
      <c r="G227" s="46"/>
      <c r="H227" s="169"/>
      <c r="I227" s="169"/>
      <c r="J227" s="169"/>
      <c r="K227" s="169"/>
    </row>
    <row r="228" spans="7:24" x14ac:dyDescent="0.3">
      <c r="G228" s="46"/>
      <c r="H228" s="169"/>
      <c r="I228" s="169"/>
      <c r="J228" s="169"/>
      <c r="K228" s="169"/>
    </row>
    <row r="229" spans="7:24" x14ac:dyDescent="0.3">
      <c r="G229" s="46"/>
      <c r="H229" s="169"/>
      <c r="I229" s="169"/>
      <c r="J229" s="169"/>
      <c r="K229" s="169"/>
    </row>
    <row r="230" spans="7:24" x14ac:dyDescent="0.3">
      <c r="G230" s="46"/>
      <c r="H230" s="169"/>
      <c r="I230" s="169"/>
      <c r="J230" s="169"/>
      <c r="K230" s="169"/>
      <c r="X230" s="7">
        <v>6882</v>
      </c>
    </row>
    <row r="231" spans="7:24" x14ac:dyDescent="0.3">
      <c r="G231" s="46"/>
      <c r="H231" s="169"/>
      <c r="I231" s="169"/>
      <c r="J231" s="169"/>
      <c r="K231" s="169"/>
    </row>
    <row r="232" spans="7:24" x14ac:dyDescent="0.3">
      <c r="G232" s="46"/>
      <c r="H232" s="169"/>
      <c r="I232" s="169"/>
      <c r="J232" s="169"/>
      <c r="K232" s="169"/>
    </row>
    <row r="233" spans="7:24" x14ac:dyDescent="0.3">
      <c r="G233" s="46"/>
      <c r="H233" s="46"/>
      <c r="I233" s="46"/>
      <c r="J233" s="46"/>
      <c r="K233" s="46"/>
    </row>
    <row r="242" spans="1:23" x14ac:dyDescent="0.3">
      <c r="A242"/>
      <c r="B242"/>
      <c r="D242"/>
      <c r="T242"/>
      <c r="W242"/>
    </row>
    <row r="243" spans="1:23" x14ac:dyDescent="0.3">
      <c r="A243"/>
      <c r="B243"/>
      <c r="D243"/>
      <c r="T243"/>
      <c r="W243"/>
    </row>
    <row r="244" spans="1:23" x14ac:dyDescent="0.3">
      <c r="A244"/>
      <c r="B244"/>
      <c r="D244"/>
      <c r="T244"/>
      <c r="W244"/>
    </row>
    <row r="245" spans="1:23" x14ac:dyDescent="0.3">
      <c r="A245"/>
      <c r="B245"/>
      <c r="D245"/>
      <c r="T245"/>
      <c r="W245"/>
    </row>
    <row r="246" spans="1:23" x14ac:dyDescent="0.3">
      <c r="A246"/>
      <c r="B246"/>
      <c r="D246"/>
      <c r="T246"/>
      <c r="W246"/>
    </row>
    <row r="247" spans="1:23" x14ac:dyDescent="0.3">
      <c r="A247"/>
      <c r="B247"/>
      <c r="D247"/>
      <c r="T247"/>
      <c r="W247"/>
    </row>
    <row r="248" spans="1:23" x14ac:dyDescent="0.3">
      <c r="A248"/>
      <c r="B248"/>
      <c r="D248"/>
      <c r="T248"/>
      <c r="W248"/>
    </row>
    <row r="249" spans="1:23" ht="15" thickBot="1" x14ac:dyDescent="0.35">
      <c r="A249" s="266" t="s">
        <v>767</v>
      </c>
      <c r="B249" s="266"/>
      <c r="D249"/>
      <c r="T249"/>
      <c r="W249"/>
    </row>
    <row r="250" spans="1:23" ht="16.2" thickBot="1" x14ac:dyDescent="0.35">
      <c r="A250" s="8" t="s">
        <v>768</v>
      </c>
      <c r="B250" s="9" t="s">
        <v>769</v>
      </c>
      <c r="D250" s="10">
        <v>2003</v>
      </c>
      <c r="E250" s="10">
        <v>94.9</v>
      </c>
      <c r="J250" s="11">
        <v>20.399999999999999</v>
      </c>
      <c r="K250" s="12">
        <v>7.9</v>
      </c>
      <c r="N250" s="11">
        <v>6500</v>
      </c>
      <c r="P250">
        <f t="shared" ref="P250:P303" si="22">H250/J250</f>
        <v>0</v>
      </c>
      <c r="Q250">
        <f t="shared" ref="Q250:Q303" si="23">J250/K250</f>
        <v>2.5822784810126578</v>
      </c>
      <c r="R250">
        <f t="shared" ref="R250:R303" si="24">H250/K250</f>
        <v>0</v>
      </c>
      <c r="T250"/>
      <c r="W250"/>
    </row>
    <row r="251" spans="1:23" ht="15.6" x14ac:dyDescent="0.3">
      <c r="A251" s="13" t="s">
        <v>770</v>
      </c>
      <c r="B251" s="14" t="s">
        <v>771</v>
      </c>
      <c r="D251" s="15">
        <v>2008</v>
      </c>
      <c r="E251" s="15">
        <v>93.6</v>
      </c>
      <c r="I251" s="16"/>
      <c r="J251" s="17">
        <v>19.7</v>
      </c>
      <c r="K251" s="18">
        <v>6.3</v>
      </c>
      <c r="N251" s="17">
        <v>4785</v>
      </c>
      <c r="P251">
        <f t="shared" si="22"/>
        <v>0</v>
      </c>
      <c r="Q251">
        <f t="shared" si="23"/>
        <v>3.126984126984127</v>
      </c>
      <c r="R251">
        <f t="shared" si="24"/>
        <v>0</v>
      </c>
      <c r="T251"/>
      <c r="W251"/>
    </row>
    <row r="252" spans="1:23" ht="15.6" x14ac:dyDescent="0.3">
      <c r="A252" s="19" t="s">
        <v>772</v>
      </c>
      <c r="B252" s="20" t="s">
        <v>769</v>
      </c>
      <c r="D252" s="21">
        <v>2005</v>
      </c>
      <c r="E252" s="21">
        <v>93.4</v>
      </c>
      <c r="I252" s="22"/>
      <c r="J252" s="23">
        <v>19.2</v>
      </c>
      <c r="K252" s="24">
        <v>6.82</v>
      </c>
      <c r="N252" s="23">
        <v>5304</v>
      </c>
      <c r="P252">
        <f t="shared" si="22"/>
        <v>0</v>
      </c>
      <c r="Q252">
        <f t="shared" si="23"/>
        <v>2.8152492668621698</v>
      </c>
      <c r="R252">
        <f t="shared" si="24"/>
        <v>0</v>
      </c>
      <c r="T252"/>
      <c r="W252"/>
    </row>
    <row r="253" spans="1:23" ht="15.6" x14ac:dyDescent="0.3">
      <c r="A253" s="13" t="s">
        <v>773</v>
      </c>
      <c r="B253" s="14" t="s">
        <v>774</v>
      </c>
      <c r="D253" s="15">
        <v>2007</v>
      </c>
      <c r="E253" s="15">
        <v>93.3</v>
      </c>
      <c r="I253" s="25"/>
      <c r="J253" s="17">
        <v>22</v>
      </c>
      <c r="K253" s="22"/>
      <c r="N253" s="17">
        <v>4200</v>
      </c>
      <c r="P253">
        <f t="shared" si="22"/>
        <v>0</v>
      </c>
      <c r="Q253" t="e">
        <f t="shared" si="23"/>
        <v>#DIV/0!</v>
      </c>
      <c r="R253" t="e">
        <f t="shared" si="24"/>
        <v>#DIV/0!</v>
      </c>
      <c r="T253"/>
      <c r="W253"/>
    </row>
    <row r="254" spans="1:23" ht="15.6" x14ac:dyDescent="0.3">
      <c r="A254" s="19" t="s">
        <v>775</v>
      </c>
      <c r="B254" s="20" t="s">
        <v>769</v>
      </c>
      <c r="D254" s="21">
        <v>1990</v>
      </c>
      <c r="E254" s="21">
        <v>93.3</v>
      </c>
      <c r="I254" s="22"/>
      <c r="J254" s="23">
        <v>18</v>
      </c>
      <c r="K254" s="24">
        <v>4.97</v>
      </c>
      <c r="N254" s="23">
        <v>3796</v>
      </c>
      <c r="P254">
        <f t="shared" si="22"/>
        <v>0</v>
      </c>
      <c r="Q254">
        <f t="shared" si="23"/>
        <v>3.6217303822937628</v>
      </c>
      <c r="R254">
        <f t="shared" si="24"/>
        <v>0</v>
      </c>
      <c r="T254"/>
      <c r="W254"/>
    </row>
    <row r="255" spans="1:23" ht="16.2" thickBot="1" x14ac:dyDescent="0.35">
      <c r="A255" s="13" t="s">
        <v>776</v>
      </c>
      <c r="B255" s="14" t="s">
        <v>771</v>
      </c>
      <c r="D255" s="15">
        <v>2005</v>
      </c>
      <c r="E255" s="15">
        <v>91.1</v>
      </c>
      <c r="I255" s="25"/>
      <c r="J255" s="17">
        <v>19</v>
      </c>
      <c r="K255" s="18">
        <v>6.5</v>
      </c>
      <c r="N255" s="26">
        <v>5000</v>
      </c>
      <c r="P255">
        <f t="shared" si="22"/>
        <v>0</v>
      </c>
      <c r="Q255">
        <f t="shared" si="23"/>
        <v>2.9230769230769229</v>
      </c>
      <c r="R255">
        <f t="shared" si="24"/>
        <v>0</v>
      </c>
      <c r="T255"/>
      <c r="W255"/>
    </row>
    <row r="256" spans="1:23" ht="16.2" thickTop="1" x14ac:dyDescent="0.3">
      <c r="A256" s="19" t="s">
        <v>777</v>
      </c>
      <c r="B256" s="20" t="s">
        <v>771</v>
      </c>
      <c r="D256" s="21">
        <v>2007</v>
      </c>
      <c r="E256" s="21">
        <v>91.1</v>
      </c>
      <c r="I256" s="22"/>
      <c r="J256" s="23">
        <v>19</v>
      </c>
      <c r="K256" s="24">
        <v>6.5</v>
      </c>
      <c r="N256" s="23">
        <v>4850</v>
      </c>
      <c r="P256">
        <f t="shared" si="22"/>
        <v>0</v>
      </c>
      <c r="Q256">
        <f t="shared" si="23"/>
        <v>2.9230769230769229</v>
      </c>
      <c r="R256">
        <f t="shared" si="24"/>
        <v>0</v>
      </c>
      <c r="T256"/>
      <c r="W256"/>
    </row>
    <row r="257" spans="1:23" ht="15.6" x14ac:dyDescent="0.3">
      <c r="A257" s="13" t="s">
        <v>778</v>
      </c>
      <c r="B257" s="14" t="s">
        <v>774</v>
      </c>
      <c r="D257" s="15">
        <v>2009</v>
      </c>
      <c r="E257" s="15">
        <v>90.3</v>
      </c>
      <c r="I257" s="25"/>
      <c r="J257" s="17">
        <v>23</v>
      </c>
      <c r="K257" s="18">
        <v>7.8</v>
      </c>
      <c r="N257" s="17">
        <v>4470</v>
      </c>
      <c r="P257">
        <f t="shared" si="22"/>
        <v>0</v>
      </c>
      <c r="Q257">
        <f t="shared" si="23"/>
        <v>2.9487179487179489</v>
      </c>
      <c r="R257">
        <f t="shared" si="24"/>
        <v>0</v>
      </c>
      <c r="T257"/>
      <c r="W257"/>
    </row>
    <row r="258" spans="1:23" ht="15.6" x14ac:dyDescent="0.3">
      <c r="A258" s="19" t="s">
        <v>779</v>
      </c>
      <c r="B258" s="20" t="s">
        <v>774</v>
      </c>
      <c r="D258" s="21">
        <v>2009</v>
      </c>
      <c r="E258" s="21">
        <v>90.3</v>
      </c>
      <c r="I258" s="18">
        <v>9.5</v>
      </c>
      <c r="J258" s="25"/>
      <c r="K258" s="25"/>
      <c r="N258" s="25"/>
      <c r="P258" t="e">
        <f t="shared" si="22"/>
        <v>#DIV/0!</v>
      </c>
      <c r="Q258" t="e">
        <f t="shared" si="23"/>
        <v>#DIV/0!</v>
      </c>
      <c r="R258" t="e">
        <f t="shared" si="24"/>
        <v>#DIV/0!</v>
      </c>
      <c r="T258"/>
      <c r="W258"/>
    </row>
    <row r="259" spans="1:23" ht="16.2" thickBot="1" x14ac:dyDescent="0.35">
      <c r="A259" s="13" t="s">
        <v>780</v>
      </c>
      <c r="B259" s="14" t="s">
        <v>769</v>
      </c>
      <c r="D259" s="15">
        <v>2002</v>
      </c>
      <c r="E259" s="15">
        <v>90.2</v>
      </c>
      <c r="I259" s="25"/>
      <c r="J259" s="17">
        <v>19</v>
      </c>
      <c r="K259" s="18">
        <v>6.97</v>
      </c>
      <c r="N259" s="26">
        <v>4505</v>
      </c>
      <c r="P259">
        <f t="shared" si="22"/>
        <v>0</v>
      </c>
      <c r="Q259">
        <f t="shared" si="23"/>
        <v>2.7259684361549499</v>
      </c>
      <c r="R259">
        <f t="shared" si="24"/>
        <v>0</v>
      </c>
      <c r="T259"/>
      <c r="W259"/>
    </row>
    <row r="260" spans="1:23" ht="16.2" thickTop="1" x14ac:dyDescent="0.3">
      <c r="A260" s="19" t="s">
        <v>781</v>
      </c>
      <c r="B260" s="20" t="s">
        <v>769</v>
      </c>
      <c r="D260" s="21">
        <v>2006</v>
      </c>
      <c r="E260" s="21">
        <v>88.8</v>
      </c>
      <c r="I260" s="18">
        <v>8.4</v>
      </c>
      <c r="J260" s="23">
        <v>19</v>
      </c>
      <c r="K260" s="24">
        <v>6.6</v>
      </c>
      <c r="N260" s="23">
        <v>3867</v>
      </c>
      <c r="P260">
        <f t="shared" si="22"/>
        <v>0</v>
      </c>
      <c r="Q260">
        <f t="shared" si="23"/>
        <v>2.8787878787878789</v>
      </c>
      <c r="R260">
        <f t="shared" si="24"/>
        <v>0</v>
      </c>
      <c r="T260"/>
      <c r="W260"/>
    </row>
    <row r="261" spans="1:23" ht="16.2" thickBot="1" x14ac:dyDescent="0.35">
      <c r="A261" s="13" t="s">
        <v>782</v>
      </c>
      <c r="B261" s="14" t="s">
        <v>769</v>
      </c>
      <c r="D261" s="15">
        <v>2003</v>
      </c>
      <c r="E261" s="15">
        <v>88.8</v>
      </c>
      <c r="I261" s="21">
        <v>8</v>
      </c>
      <c r="J261" s="17">
        <v>18.8</v>
      </c>
      <c r="K261" s="22"/>
      <c r="N261" s="26">
        <v>4276</v>
      </c>
      <c r="P261">
        <f t="shared" si="22"/>
        <v>0</v>
      </c>
      <c r="Q261" t="e">
        <f t="shared" si="23"/>
        <v>#DIV/0!</v>
      </c>
      <c r="R261" t="e">
        <f t="shared" si="24"/>
        <v>#DIV/0!</v>
      </c>
      <c r="T261"/>
      <c r="W261"/>
    </row>
    <row r="262" spans="1:23" ht="16.2" thickTop="1" x14ac:dyDescent="0.3">
      <c r="A262" s="19" t="s">
        <v>783</v>
      </c>
      <c r="B262" s="20" t="s">
        <v>774</v>
      </c>
      <c r="D262" s="21">
        <v>2003</v>
      </c>
      <c r="E262" s="21">
        <v>87.7</v>
      </c>
      <c r="I262" s="22"/>
      <c r="J262" s="23">
        <v>18</v>
      </c>
      <c r="K262" s="24">
        <v>6.6</v>
      </c>
      <c r="N262" s="23">
        <v>3120</v>
      </c>
      <c r="P262">
        <f t="shared" si="22"/>
        <v>0</v>
      </c>
      <c r="Q262">
        <f t="shared" si="23"/>
        <v>2.7272727272727275</v>
      </c>
      <c r="R262">
        <f t="shared" si="24"/>
        <v>0</v>
      </c>
      <c r="T262"/>
      <c r="W262"/>
    </row>
    <row r="263" spans="1:23" ht="15.6" x14ac:dyDescent="0.3">
      <c r="A263" s="13" t="s">
        <v>784</v>
      </c>
      <c r="B263" s="14" t="s">
        <v>774</v>
      </c>
      <c r="D263" s="15">
        <v>2003</v>
      </c>
      <c r="E263" s="15">
        <v>87.7</v>
      </c>
      <c r="I263" s="21">
        <v>8</v>
      </c>
      <c r="J263" s="17">
        <v>18</v>
      </c>
      <c r="K263" s="18">
        <v>6.6</v>
      </c>
      <c r="N263" s="17">
        <v>2851</v>
      </c>
      <c r="P263">
        <f t="shared" si="22"/>
        <v>0</v>
      </c>
      <c r="Q263">
        <f t="shared" si="23"/>
        <v>2.7272727272727275</v>
      </c>
      <c r="R263">
        <f t="shared" si="24"/>
        <v>0</v>
      </c>
      <c r="T263"/>
      <c r="W263"/>
    </row>
    <row r="264" spans="1:23" ht="15.6" x14ac:dyDescent="0.3">
      <c r="A264" s="19" t="s">
        <v>785</v>
      </c>
      <c r="B264" s="20" t="s">
        <v>774</v>
      </c>
      <c r="D264" s="21">
        <v>2007</v>
      </c>
      <c r="E264" s="21">
        <v>86.3</v>
      </c>
      <c r="I264" s="15">
        <v>8</v>
      </c>
      <c r="J264" s="23">
        <v>18.8</v>
      </c>
      <c r="K264" s="25"/>
      <c r="N264" s="23">
        <v>4249</v>
      </c>
      <c r="P264">
        <f t="shared" si="22"/>
        <v>0</v>
      </c>
      <c r="Q264" t="e">
        <f t="shared" si="23"/>
        <v>#DIV/0!</v>
      </c>
      <c r="R264" t="e">
        <f t="shared" si="24"/>
        <v>#DIV/0!</v>
      </c>
      <c r="T264"/>
      <c r="W264"/>
    </row>
    <row r="265" spans="1:23" ht="16.2" thickBot="1" x14ac:dyDescent="0.35">
      <c r="A265" s="13" t="s">
        <v>786</v>
      </c>
      <c r="B265" s="14" t="s">
        <v>769</v>
      </c>
      <c r="D265" s="15">
        <v>2005</v>
      </c>
      <c r="E265" s="15">
        <v>86.2</v>
      </c>
      <c r="I265" s="25"/>
      <c r="J265" s="17">
        <v>18.8</v>
      </c>
      <c r="K265" s="22"/>
      <c r="N265" s="26">
        <v>4249</v>
      </c>
      <c r="P265">
        <f t="shared" si="22"/>
        <v>0</v>
      </c>
      <c r="Q265" t="e">
        <f t="shared" si="23"/>
        <v>#DIV/0!</v>
      </c>
      <c r="R265" t="e">
        <f t="shared" si="24"/>
        <v>#DIV/0!</v>
      </c>
      <c r="T265"/>
      <c r="W265"/>
    </row>
    <row r="266" spans="1:23" ht="16.2" thickTop="1" x14ac:dyDescent="0.3">
      <c r="A266" s="19" t="s">
        <v>787</v>
      </c>
      <c r="B266" s="20" t="s">
        <v>769</v>
      </c>
      <c r="D266" s="21">
        <v>2005</v>
      </c>
      <c r="E266" s="21">
        <v>86.2</v>
      </c>
      <c r="I266" s="22"/>
      <c r="J266" s="23">
        <v>18</v>
      </c>
      <c r="K266" s="24">
        <v>6.6</v>
      </c>
      <c r="N266" s="23">
        <v>2851</v>
      </c>
      <c r="P266">
        <f t="shared" si="22"/>
        <v>0</v>
      </c>
      <c r="Q266">
        <f t="shared" si="23"/>
        <v>2.7272727272727275</v>
      </c>
      <c r="R266">
        <f t="shared" si="24"/>
        <v>0</v>
      </c>
      <c r="T266"/>
      <c r="W266"/>
    </row>
    <row r="267" spans="1:23" ht="15.6" x14ac:dyDescent="0.3">
      <c r="A267" s="13" t="s">
        <v>788</v>
      </c>
      <c r="B267" s="14" t="s">
        <v>774</v>
      </c>
      <c r="D267" s="15">
        <v>2006</v>
      </c>
      <c r="E267" s="15">
        <v>86.2</v>
      </c>
      <c r="I267" s="21">
        <v>8</v>
      </c>
      <c r="J267" s="17">
        <v>18.5</v>
      </c>
      <c r="K267" s="15">
        <v>7</v>
      </c>
      <c r="N267" s="17">
        <v>3180</v>
      </c>
      <c r="P267">
        <f t="shared" si="22"/>
        <v>0</v>
      </c>
      <c r="Q267">
        <f t="shared" si="23"/>
        <v>2.6428571428571428</v>
      </c>
      <c r="R267">
        <f t="shared" si="24"/>
        <v>0</v>
      </c>
      <c r="T267"/>
      <c r="W267"/>
    </row>
    <row r="268" spans="1:23" ht="15.6" x14ac:dyDescent="0.3">
      <c r="A268" s="19" t="s">
        <v>789</v>
      </c>
      <c r="B268" s="20" t="s">
        <v>769</v>
      </c>
      <c r="D268" s="21">
        <v>2005</v>
      </c>
      <c r="E268" s="21">
        <v>86.2</v>
      </c>
      <c r="I268" s="18">
        <v>8.5</v>
      </c>
      <c r="J268" s="25"/>
      <c r="K268" s="25"/>
      <c r="N268" s="25"/>
      <c r="P268" t="e">
        <f t="shared" si="22"/>
        <v>#DIV/0!</v>
      </c>
      <c r="Q268" t="e">
        <f t="shared" si="23"/>
        <v>#DIV/0!</v>
      </c>
      <c r="R268" t="e">
        <f t="shared" si="24"/>
        <v>#DIV/0!</v>
      </c>
      <c r="T268"/>
      <c r="W268"/>
    </row>
    <row r="269" spans="1:23" ht="16.2" thickBot="1" x14ac:dyDescent="0.35">
      <c r="A269" s="13" t="s">
        <v>790</v>
      </c>
      <c r="B269" s="14" t="s">
        <v>774</v>
      </c>
      <c r="D269" s="15">
        <v>2007</v>
      </c>
      <c r="E269" s="15">
        <v>86</v>
      </c>
      <c r="I269" s="25"/>
      <c r="J269" s="17">
        <v>19.899999999999999</v>
      </c>
      <c r="K269" s="18">
        <v>7.3</v>
      </c>
      <c r="N269" s="27">
        <v>3671</v>
      </c>
      <c r="P269">
        <f t="shared" si="22"/>
        <v>0</v>
      </c>
      <c r="Q269">
        <f t="shared" si="23"/>
        <v>2.7260273972602738</v>
      </c>
      <c r="R269">
        <f t="shared" si="24"/>
        <v>0</v>
      </c>
      <c r="T269"/>
      <c r="W269"/>
    </row>
    <row r="270" spans="1:23" ht="15.6" x14ac:dyDescent="0.3">
      <c r="A270" s="19" t="s">
        <v>791</v>
      </c>
      <c r="B270" s="20" t="s">
        <v>769</v>
      </c>
      <c r="D270" s="21">
        <v>1996</v>
      </c>
      <c r="E270" s="21">
        <v>84.4</v>
      </c>
      <c r="I270" s="18">
        <v>8.8000000000000007</v>
      </c>
      <c r="J270" s="23">
        <v>18.8</v>
      </c>
      <c r="K270" s="25"/>
      <c r="N270" s="11">
        <v>4560</v>
      </c>
      <c r="P270">
        <f t="shared" si="22"/>
        <v>0</v>
      </c>
      <c r="Q270" t="e">
        <f t="shared" si="23"/>
        <v>#DIV/0!</v>
      </c>
      <c r="R270" t="e">
        <f t="shared" si="24"/>
        <v>#DIV/0!</v>
      </c>
      <c r="T270"/>
      <c r="W270"/>
    </row>
    <row r="271" spans="1:23" ht="15.6" x14ac:dyDescent="0.3">
      <c r="A271" s="13" t="s">
        <v>792</v>
      </c>
      <c r="B271" s="14" t="s">
        <v>769</v>
      </c>
      <c r="D271" s="15">
        <v>1997</v>
      </c>
      <c r="E271" s="15">
        <v>84</v>
      </c>
      <c r="I271" s="25"/>
      <c r="J271" s="17">
        <v>18.7</v>
      </c>
      <c r="K271" s="18">
        <v>6.2</v>
      </c>
      <c r="N271" s="17">
        <v>4200</v>
      </c>
      <c r="P271">
        <f t="shared" si="22"/>
        <v>0</v>
      </c>
      <c r="Q271">
        <f t="shared" si="23"/>
        <v>3.0161290322580645</v>
      </c>
      <c r="R271">
        <f t="shared" si="24"/>
        <v>0</v>
      </c>
      <c r="T271"/>
      <c r="W271"/>
    </row>
    <row r="272" spans="1:23" ht="15.6" x14ac:dyDescent="0.3">
      <c r="A272" s="19" t="s">
        <v>793</v>
      </c>
      <c r="B272" s="20" t="s">
        <v>774</v>
      </c>
      <c r="D272" s="21">
        <v>2000</v>
      </c>
      <c r="E272" s="21">
        <v>83.7</v>
      </c>
      <c r="I272" s="18">
        <v>7.3</v>
      </c>
      <c r="J272" s="25"/>
      <c r="K272" s="25"/>
      <c r="N272" s="25"/>
      <c r="P272" t="e">
        <f t="shared" si="22"/>
        <v>#DIV/0!</v>
      </c>
      <c r="Q272" t="e">
        <f t="shared" si="23"/>
        <v>#DIV/0!</v>
      </c>
      <c r="R272" t="e">
        <f t="shared" si="24"/>
        <v>#DIV/0!</v>
      </c>
      <c r="T272"/>
      <c r="W272"/>
    </row>
    <row r="273" spans="1:23" ht="16.2" thickBot="1" x14ac:dyDescent="0.35">
      <c r="A273" s="13" t="s">
        <v>794</v>
      </c>
      <c r="B273" s="14" t="s">
        <v>769</v>
      </c>
      <c r="D273" s="15">
        <v>1998</v>
      </c>
      <c r="E273" s="15">
        <v>82.8</v>
      </c>
      <c r="I273" s="25"/>
      <c r="J273" s="17">
        <v>19</v>
      </c>
      <c r="K273" s="18">
        <v>6.31</v>
      </c>
      <c r="N273" s="26">
        <v>4679</v>
      </c>
      <c r="P273">
        <f t="shared" si="22"/>
        <v>0</v>
      </c>
      <c r="Q273">
        <f t="shared" si="23"/>
        <v>3.0110935023771792</v>
      </c>
      <c r="R273">
        <f t="shared" si="24"/>
        <v>0</v>
      </c>
      <c r="T273"/>
      <c r="W273"/>
    </row>
    <row r="274" spans="1:23" ht="16.2" thickTop="1" x14ac:dyDescent="0.3">
      <c r="A274" s="19" t="s">
        <v>795</v>
      </c>
      <c r="B274" s="20" t="s">
        <v>769</v>
      </c>
      <c r="D274" s="21">
        <v>1996</v>
      </c>
      <c r="E274" s="21">
        <v>82.8</v>
      </c>
      <c r="I274" s="18">
        <v>7.61</v>
      </c>
      <c r="J274" s="23">
        <v>19</v>
      </c>
      <c r="K274" s="24">
        <v>6.32</v>
      </c>
      <c r="N274" s="23">
        <v>4679</v>
      </c>
      <c r="P274">
        <f t="shared" si="22"/>
        <v>0</v>
      </c>
      <c r="Q274">
        <f t="shared" si="23"/>
        <v>3.0063291139240507</v>
      </c>
      <c r="R274">
        <f t="shared" si="24"/>
        <v>0</v>
      </c>
      <c r="T274"/>
      <c r="W274"/>
    </row>
    <row r="275" spans="1:23" ht="15.6" x14ac:dyDescent="0.3">
      <c r="A275" s="13" t="s">
        <v>796</v>
      </c>
      <c r="B275" s="14" t="s">
        <v>769</v>
      </c>
      <c r="D275" s="15">
        <v>1999</v>
      </c>
      <c r="E275" s="15">
        <v>82.8</v>
      </c>
      <c r="I275" s="24">
        <v>7.6</v>
      </c>
      <c r="J275" s="17">
        <v>19</v>
      </c>
      <c r="K275" s="18">
        <v>6.31</v>
      </c>
      <c r="N275" s="17">
        <v>4679</v>
      </c>
      <c r="P275">
        <f t="shared" si="22"/>
        <v>0</v>
      </c>
      <c r="Q275">
        <f t="shared" si="23"/>
        <v>3.0110935023771792</v>
      </c>
      <c r="R275">
        <f t="shared" si="24"/>
        <v>0</v>
      </c>
      <c r="T275"/>
      <c r="W275"/>
    </row>
    <row r="276" spans="1:23" ht="15.6" x14ac:dyDescent="0.3">
      <c r="A276" s="19" t="s">
        <v>797</v>
      </c>
      <c r="B276" s="20" t="s">
        <v>769</v>
      </c>
      <c r="D276" s="21">
        <v>1994</v>
      </c>
      <c r="E276" s="21" t="s">
        <v>798</v>
      </c>
      <c r="I276" s="18">
        <v>7.6</v>
      </c>
      <c r="J276" s="25"/>
      <c r="K276" s="25"/>
      <c r="N276" s="25"/>
      <c r="P276" t="e">
        <f t="shared" si="22"/>
        <v>#DIV/0!</v>
      </c>
      <c r="Q276" t="e">
        <f t="shared" si="23"/>
        <v>#DIV/0!</v>
      </c>
      <c r="R276" t="e">
        <f t="shared" si="24"/>
        <v>#DIV/0!</v>
      </c>
      <c r="T276"/>
      <c r="W276"/>
    </row>
    <row r="277" spans="1:23" ht="15.6" x14ac:dyDescent="0.3">
      <c r="A277" s="13" t="s">
        <v>799</v>
      </c>
      <c r="B277" s="14" t="s">
        <v>774</v>
      </c>
      <c r="D277" s="15">
        <v>2003</v>
      </c>
      <c r="E277" s="15">
        <v>82.1</v>
      </c>
      <c r="I277" s="25"/>
      <c r="J277" s="17">
        <v>20</v>
      </c>
      <c r="K277" s="22"/>
      <c r="N277" s="17">
        <v>3694</v>
      </c>
      <c r="P277">
        <f t="shared" si="22"/>
        <v>0</v>
      </c>
      <c r="Q277" t="e">
        <f t="shared" si="23"/>
        <v>#DIV/0!</v>
      </c>
      <c r="R277" t="e">
        <f t="shared" si="24"/>
        <v>#DIV/0!</v>
      </c>
      <c r="T277"/>
      <c r="W277"/>
    </row>
    <row r="278" spans="1:23" ht="15.6" x14ac:dyDescent="0.3">
      <c r="A278" s="19" t="s">
        <v>800</v>
      </c>
      <c r="B278" s="20" t="s">
        <v>774</v>
      </c>
      <c r="D278" s="21">
        <v>2002</v>
      </c>
      <c r="E278" s="21">
        <v>82.1</v>
      </c>
      <c r="I278" s="22"/>
      <c r="J278" s="23">
        <v>20</v>
      </c>
      <c r="K278" s="25"/>
      <c r="N278" s="23">
        <v>3694</v>
      </c>
      <c r="P278">
        <f t="shared" si="22"/>
        <v>0</v>
      </c>
      <c r="Q278" t="e">
        <f t="shared" si="23"/>
        <v>#DIV/0!</v>
      </c>
      <c r="R278" t="e">
        <f t="shared" si="24"/>
        <v>#DIV/0!</v>
      </c>
      <c r="T278"/>
      <c r="W278"/>
    </row>
    <row r="279" spans="1:23" ht="15.6" x14ac:dyDescent="0.3">
      <c r="A279" s="13" t="s">
        <v>801</v>
      </c>
      <c r="B279" s="14" t="s">
        <v>774</v>
      </c>
      <c r="D279" s="15">
        <v>2002</v>
      </c>
      <c r="E279" s="15">
        <v>82.1</v>
      </c>
      <c r="I279" s="25"/>
      <c r="J279" s="17">
        <v>20</v>
      </c>
      <c r="K279" s="22"/>
      <c r="N279" s="15">
        <v>3620</v>
      </c>
      <c r="P279">
        <f t="shared" si="22"/>
        <v>0</v>
      </c>
      <c r="Q279" t="e">
        <f t="shared" si="23"/>
        <v>#DIV/0!</v>
      </c>
      <c r="R279" t="e">
        <f t="shared" si="24"/>
        <v>#DIV/0!</v>
      </c>
      <c r="T279"/>
      <c r="W279"/>
    </row>
    <row r="280" spans="1:23" ht="15.6" x14ac:dyDescent="0.3">
      <c r="A280" s="19" t="s">
        <v>802</v>
      </c>
      <c r="B280" s="20" t="s">
        <v>769</v>
      </c>
      <c r="D280" s="21">
        <v>1976</v>
      </c>
      <c r="E280" s="21">
        <v>81.099999999999994</v>
      </c>
      <c r="I280" s="18">
        <v>9.5</v>
      </c>
      <c r="J280" s="23" t="s">
        <v>803</v>
      </c>
      <c r="K280" s="24">
        <v>4.97</v>
      </c>
      <c r="N280" s="25"/>
      <c r="P280" t="e">
        <f t="shared" si="22"/>
        <v>#VALUE!</v>
      </c>
      <c r="Q280" t="e">
        <f t="shared" si="23"/>
        <v>#VALUE!</v>
      </c>
      <c r="R280">
        <f t="shared" si="24"/>
        <v>0</v>
      </c>
      <c r="T280"/>
      <c r="W280"/>
    </row>
    <row r="281" spans="1:23" ht="16.2" thickBot="1" x14ac:dyDescent="0.35">
      <c r="A281" s="13" t="s">
        <v>804</v>
      </c>
      <c r="B281" s="14" t="s">
        <v>774</v>
      </c>
      <c r="D281" s="15">
        <v>1997</v>
      </c>
      <c r="E281" s="15">
        <v>80.400000000000006</v>
      </c>
      <c r="I281" s="24">
        <v>7.12</v>
      </c>
      <c r="J281" s="17">
        <v>18</v>
      </c>
      <c r="K281" s="22"/>
      <c r="N281" s="26">
        <v>4200</v>
      </c>
      <c r="P281">
        <f t="shared" si="22"/>
        <v>0</v>
      </c>
      <c r="Q281" t="e">
        <f t="shared" si="23"/>
        <v>#DIV/0!</v>
      </c>
      <c r="R281" t="e">
        <f t="shared" si="24"/>
        <v>#DIV/0!</v>
      </c>
      <c r="T281"/>
      <c r="W281"/>
    </row>
    <row r="282" spans="1:23" ht="16.2" thickTop="1" x14ac:dyDescent="0.3">
      <c r="A282" s="19" t="s">
        <v>805</v>
      </c>
      <c r="B282" s="20" t="s">
        <v>774</v>
      </c>
      <c r="D282" s="21">
        <v>2001</v>
      </c>
      <c r="E282" s="21">
        <v>80</v>
      </c>
      <c r="I282" s="22"/>
      <c r="J282" s="23">
        <v>18</v>
      </c>
      <c r="K282" s="24">
        <v>6.6</v>
      </c>
      <c r="N282" s="23">
        <v>2851</v>
      </c>
      <c r="P282">
        <f t="shared" si="22"/>
        <v>0</v>
      </c>
      <c r="Q282">
        <f t="shared" si="23"/>
        <v>2.7272727272727275</v>
      </c>
      <c r="R282">
        <f t="shared" si="24"/>
        <v>0</v>
      </c>
      <c r="T282"/>
      <c r="W282"/>
    </row>
    <row r="283" spans="1:23" ht="16.2" thickBot="1" x14ac:dyDescent="0.35">
      <c r="A283" s="13" t="s">
        <v>806</v>
      </c>
      <c r="B283" s="14" t="s">
        <v>771</v>
      </c>
      <c r="D283" s="15">
        <v>1984</v>
      </c>
      <c r="E283" s="15">
        <v>75</v>
      </c>
      <c r="I283" s="21">
        <v>8</v>
      </c>
      <c r="J283" s="17">
        <v>16</v>
      </c>
      <c r="K283" s="18">
        <v>6.25</v>
      </c>
      <c r="N283" s="28"/>
      <c r="P283">
        <f t="shared" si="22"/>
        <v>0</v>
      </c>
      <c r="Q283">
        <f t="shared" si="23"/>
        <v>2.56</v>
      </c>
      <c r="R283">
        <f t="shared" si="24"/>
        <v>0</v>
      </c>
      <c r="T283"/>
      <c r="W283"/>
    </row>
    <row r="284" spans="1:23" ht="16.2" thickTop="1" x14ac:dyDescent="0.3">
      <c r="A284" s="19" t="s">
        <v>807</v>
      </c>
      <c r="B284" s="20" t="s">
        <v>769</v>
      </c>
      <c r="D284" s="21">
        <v>2009</v>
      </c>
      <c r="E284" s="21">
        <v>74.8</v>
      </c>
      <c r="I284" s="18">
        <v>7.4</v>
      </c>
      <c r="J284" s="23">
        <v>16.399999999999999</v>
      </c>
      <c r="K284" s="24">
        <v>6.22</v>
      </c>
      <c r="N284" s="23">
        <v>3250</v>
      </c>
      <c r="P284">
        <f t="shared" si="22"/>
        <v>0</v>
      </c>
      <c r="Q284">
        <f t="shared" si="23"/>
        <v>2.6366559485530545</v>
      </c>
      <c r="R284">
        <f t="shared" si="24"/>
        <v>0</v>
      </c>
      <c r="T284"/>
      <c r="W284"/>
    </row>
    <row r="285" spans="1:23" ht="16.2" thickBot="1" x14ac:dyDescent="0.35">
      <c r="A285" s="13" t="s">
        <v>808</v>
      </c>
      <c r="B285" s="14" t="s">
        <v>774</v>
      </c>
      <c r="D285" s="15">
        <v>2008</v>
      </c>
      <c r="E285" s="15">
        <v>74.5</v>
      </c>
      <c r="I285" s="24">
        <v>7.45</v>
      </c>
      <c r="J285" s="17">
        <v>17.2</v>
      </c>
      <c r="K285" s="18">
        <v>6.8</v>
      </c>
      <c r="N285" s="26">
        <v>3000</v>
      </c>
      <c r="P285">
        <f t="shared" si="22"/>
        <v>0</v>
      </c>
      <c r="Q285">
        <f t="shared" si="23"/>
        <v>2.5294117647058822</v>
      </c>
      <c r="R285">
        <f t="shared" si="24"/>
        <v>0</v>
      </c>
      <c r="T285"/>
      <c r="W285"/>
    </row>
    <row r="286" spans="1:23" ht="16.2" thickTop="1" x14ac:dyDescent="0.3">
      <c r="A286" s="19" t="s">
        <v>809</v>
      </c>
      <c r="B286" s="20" t="s">
        <v>774</v>
      </c>
      <c r="D286" s="21">
        <v>2000</v>
      </c>
      <c r="E286" s="21">
        <v>73.900000000000006</v>
      </c>
      <c r="I286" s="15">
        <v>8</v>
      </c>
      <c r="J286" s="23">
        <v>16</v>
      </c>
      <c r="K286" s="24">
        <v>6.5</v>
      </c>
      <c r="N286" s="23">
        <v>2881</v>
      </c>
      <c r="P286">
        <f t="shared" si="22"/>
        <v>0</v>
      </c>
      <c r="Q286">
        <f t="shared" si="23"/>
        <v>2.4615384615384617</v>
      </c>
      <c r="R286">
        <f t="shared" si="24"/>
        <v>0</v>
      </c>
      <c r="T286"/>
      <c r="W286"/>
    </row>
    <row r="287" spans="1:23" ht="16.2" thickBot="1" x14ac:dyDescent="0.35">
      <c r="A287" s="29" t="s">
        <v>810</v>
      </c>
      <c r="B287" s="30" t="s">
        <v>774</v>
      </c>
      <c r="D287" s="31">
        <v>2003</v>
      </c>
      <c r="E287" s="31">
        <v>73.8</v>
      </c>
      <c r="I287" s="24">
        <v>7.6</v>
      </c>
      <c r="J287" s="32"/>
      <c r="K287" s="32"/>
      <c r="N287" s="22"/>
      <c r="P287" t="e">
        <f t="shared" si="22"/>
        <v>#DIV/0!</v>
      </c>
      <c r="Q287" t="e">
        <f t="shared" si="23"/>
        <v>#DIV/0!</v>
      </c>
      <c r="R287" t="e">
        <f t="shared" si="24"/>
        <v>#DIV/0!</v>
      </c>
      <c r="T287"/>
      <c r="W287"/>
    </row>
    <row r="288" spans="1:23" ht="16.2" thickBot="1" x14ac:dyDescent="0.35">
      <c r="A288" s="8" t="s">
        <v>811</v>
      </c>
      <c r="B288" s="33" t="s">
        <v>774</v>
      </c>
      <c r="D288" s="33">
        <v>1992</v>
      </c>
      <c r="E288" s="10">
        <v>73.599999999999994</v>
      </c>
      <c r="I288" s="32"/>
      <c r="J288" s="34">
        <v>16.399999999999999</v>
      </c>
      <c r="K288" s="10">
        <v>6.85</v>
      </c>
      <c r="N288" s="23">
        <v>2783</v>
      </c>
      <c r="P288">
        <f t="shared" si="22"/>
        <v>0</v>
      </c>
      <c r="Q288">
        <f t="shared" si="23"/>
        <v>2.3941605839416056</v>
      </c>
      <c r="R288">
        <f t="shared" si="24"/>
        <v>0</v>
      </c>
      <c r="T288"/>
      <c r="W288"/>
    </row>
    <row r="289" spans="1:23" ht="16.2" thickBot="1" x14ac:dyDescent="0.35">
      <c r="A289" s="13" t="s">
        <v>812</v>
      </c>
      <c r="B289" s="35" t="s">
        <v>769</v>
      </c>
      <c r="D289" s="35">
        <v>2008</v>
      </c>
      <c r="E289" s="15">
        <v>73.400000000000006</v>
      </c>
      <c r="I289" s="36">
        <v>8</v>
      </c>
      <c r="J289" s="22"/>
      <c r="K289" s="22"/>
      <c r="N289" s="28"/>
      <c r="P289" t="e">
        <f t="shared" si="22"/>
        <v>#DIV/0!</v>
      </c>
      <c r="Q289" t="e">
        <f t="shared" si="23"/>
        <v>#DIV/0!</v>
      </c>
      <c r="R289" t="e">
        <f t="shared" si="24"/>
        <v>#DIV/0!</v>
      </c>
      <c r="T289"/>
      <c r="W289"/>
    </row>
    <row r="290" spans="1:23" ht="16.2" thickTop="1" x14ac:dyDescent="0.3">
      <c r="A290" s="19" t="s">
        <v>813</v>
      </c>
      <c r="B290" s="37" t="s">
        <v>769</v>
      </c>
      <c r="D290" s="37">
        <v>2005</v>
      </c>
      <c r="E290" s="21">
        <v>73.400000000000006</v>
      </c>
      <c r="I290" s="22"/>
      <c r="J290" s="24">
        <v>16.600000000000001</v>
      </c>
      <c r="K290" s="21">
        <v>7.6</v>
      </c>
      <c r="N290" s="23">
        <v>3500</v>
      </c>
      <c r="P290">
        <f t="shared" si="22"/>
        <v>0</v>
      </c>
      <c r="Q290">
        <f t="shared" si="23"/>
        <v>2.1842105263157898</v>
      </c>
      <c r="R290">
        <f t="shared" si="24"/>
        <v>0</v>
      </c>
      <c r="T290"/>
      <c r="W290"/>
    </row>
    <row r="291" spans="1:23" ht="16.2" thickBot="1" x14ac:dyDescent="0.35">
      <c r="A291" s="13" t="s">
        <v>814</v>
      </c>
      <c r="B291" s="35" t="s">
        <v>769</v>
      </c>
      <c r="D291" s="35">
        <v>2006</v>
      </c>
      <c r="E291" s="15">
        <v>73.400000000000006</v>
      </c>
      <c r="I291" s="38">
        <v>16.600000000000001</v>
      </c>
      <c r="J291" s="18">
        <v>16.600000000000001</v>
      </c>
      <c r="K291" s="15">
        <v>7.6</v>
      </c>
      <c r="N291" s="26">
        <v>3550</v>
      </c>
      <c r="P291">
        <f t="shared" si="22"/>
        <v>0</v>
      </c>
      <c r="Q291">
        <f t="shared" si="23"/>
        <v>2.1842105263157898</v>
      </c>
      <c r="R291">
        <f t="shared" si="24"/>
        <v>0</v>
      </c>
      <c r="T291"/>
      <c r="W291"/>
    </row>
    <row r="292" spans="1:23" ht="16.2" thickTop="1" x14ac:dyDescent="0.3">
      <c r="A292" s="19" t="s">
        <v>815</v>
      </c>
      <c r="B292" s="37" t="s">
        <v>769</v>
      </c>
      <c r="D292" s="37">
        <v>2005</v>
      </c>
      <c r="E292" s="21">
        <v>73.400000000000006</v>
      </c>
      <c r="I292" s="39">
        <v>16.600000000000001</v>
      </c>
      <c r="J292" s="24">
        <v>16.600000000000001</v>
      </c>
      <c r="K292" s="21">
        <v>7.6</v>
      </c>
      <c r="N292" s="23">
        <v>3500</v>
      </c>
      <c r="P292">
        <f t="shared" si="22"/>
        <v>0</v>
      </c>
      <c r="Q292">
        <f t="shared" si="23"/>
        <v>2.1842105263157898</v>
      </c>
      <c r="R292">
        <f t="shared" si="24"/>
        <v>0</v>
      </c>
      <c r="T292"/>
      <c r="W292"/>
    </row>
    <row r="293" spans="1:23" ht="16.2" thickBot="1" x14ac:dyDescent="0.35">
      <c r="A293" s="13" t="s">
        <v>816</v>
      </c>
      <c r="B293" s="35" t="s">
        <v>771</v>
      </c>
      <c r="D293" s="35">
        <v>2004</v>
      </c>
      <c r="E293" s="15">
        <v>73.3</v>
      </c>
      <c r="I293" s="38">
        <v>16.600000000000001</v>
      </c>
      <c r="J293" s="40">
        <v>16</v>
      </c>
      <c r="K293" s="15">
        <v>7.5</v>
      </c>
      <c r="N293" s="28"/>
      <c r="P293">
        <f t="shared" si="22"/>
        <v>0</v>
      </c>
      <c r="Q293">
        <f t="shared" si="23"/>
        <v>2.1333333333333333</v>
      </c>
      <c r="R293">
        <f t="shared" si="24"/>
        <v>0</v>
      </c>
      <c r="T293"/>
      <c r="W293"/>
    </row>
    <row r="294" spans="1:23" ht="16.2" thickTop="1" x14ac:dyDescent="0.3">
      <c r="A294" s="19" t="s">
        <v>817</v>
      </c>
      <c r="B294" s="37" t="s">
        <v>774</v>
      </c>
      <c r="D294" s="37">
        <v>2009</v>
      </c>
      <c r="E294" s="21">
        <v>73.2</v>
      </c>
      <c r="I294" s="39">
        <v>16</v>
      </c>
      <c r="J294" s="41">
        <v>20</v>
      </c>
      <c r="K294" s="21">
        <v>8.4</v>
      </c>
      <c r="N294" s="23">
        <v>3500</v>
      </c>
      <c r="P294">
        <f t="shared" si="22"/>
        <v>0</v>
      </c>
      <c r="Q294">
        <f t="shared" si="23"/>
        <v>2.3809523809523809</v>
      </c>
      <c r="R294">
        <f t="shared" si="24"/>
        <v>0</v>
      </c>
      <c r="T294"/>
      <c r="W294"/>
    </row>
    <row r="295" spans="1:23" ht="15.6" x14ac:dyDescent="0.3">
      <c r="A295" s="13" t="s">
        <v>818</v>
      </c>
      <c r="B295" s="35" t="s">
        <v>769</v>
      </c>
      <c r="D295" s="35">
        <v>2004</v>
      </c>
      <c r="E295" s="15">
        <v>72</v>
      </c>
      <c r="I295" s="38">
        <v>20</v>
      </c>
      <c r="J295" s="40">
        <v>16</v>
      </c>
      <c r="K295" s="15">
        <v>7</v>
      </c>
      <c r="N295" s="17">
        <v>3300</v>
      </c>
      <c r="P295">
        <f t="shared" si="22"/>
        <v>0</v>
      </c>
      <c r="Q295">
        <f t="shared" si="23"/>
        <v>2.2857142857142856</v>
      </c>
      <c r="R295">
        <f t="shared" si="24"/>
        <v>0</v>
      </c>
      <c r="T295"/>
      <c r="W295"/>
    </row>
    <row r="296" spans="1:23" ht="15.6" x14ac:dyDescent="0.3">
      <c r="A296" s="19" t="s">
        <v>819</v>
      </c>
      <c r="B296" s="37" t="s">
        <v>771</v>
      </c>
      <c r="D296" s="37">
        <v>2002</v>
      </c>
      <c r="E296" s="21">
        <v>70.400000000000006</v>
      </c>
      <c r="I296" s="39">
        <v>16</v>
      </c>
      <c r="J296" s="24">
        <v>16.600000000000001</v>
      </c>
      <c r="K296" s="21">
        <v>7.6</v>
      </c>
      <c r="N296" s="23">
        <v>3800</v>
      </c>
      <c r="P296">
        <f t="shared" si="22"/>
        <v>0</v>
      </c>
      <c r="Q296">
        <f t="shared" si="23"/>
        <v>2.1842105263157898</v>
      </c>
      <c r="R296">
        <f t="shared" si="24"/>
        <v>0</v>
      </c>
      <c r="T296"/>
      <c r="W296"/>
    </row>
    <row r="297" spans="1:23" ht="15.6" x14ac:dyDescent="0.3">
      <c r="A297" s="13" t="s">
        <v>820</v>
      </c>
      <c r="B297" s="35" t="s">
        <v>771</v>
      </c>
      <c r="D297" s="35">
        <v>2002</v>
      </c>
      <c r="E297" s="15">
        <v>69.599999999999994</v>
      </c>
      <c r="I297" s="38">
        <v>16.600000000000001</v>
      </c>
      <c r="J297" s="18">
        <v>13.3</v>
      </c>
      <c r="K297" s="15">
        <v>5</v>
      </c>
      <c r="N297" s="22"/>
      <c r="P297">
        <f t="shared" si="22"/>
        <v>0</v>
      </c>
      <c r="Q297">
        <f t="shared" si="23"/>
        <v>2.66</v>
      </c>
      <c r="R297">
        <f t="shared" si="24"/>
        <v>0</v>
      </c>
      <c r="T297"/>
      <c r="W297"/>
    </row>
    <row r="298" spans="1:23" ht="15.6" x14ac:dyDescent="0.3">
      <c r="A298" s="19" t="s">
        <v>821</v>
      </c>
      <c r="B298" s="37" t="s">
        <v>769</v>
      </c>
      <c r="D298" s="37">
        <v>1986</v>
      </c>
      <c r="E298" s="21">
        <v>69.3</v>
      </c>
      <c r="I298" s="39">
        <v>13.3</v>
      </c>
      <c r="J298" s="24">
        <v>15.5</v>
      </c>
      <c r="K298" s="21">
        <v>7.32</v>
      </c>
      <c r="N298" s="25"/>
      <c r="P298">
        <f t="shared" si="22"/>
        <v>0</v>
      </c>
      <c r="Q298">
        <f t="shared" si="23"/>
        <v>2.1174863387978142</v>
      </c>
      <c r="R298">
        <f t="shared" si="24"/>
        <v>0</v>
      </c>
      <c r="T298"/>
      <c r="W298"/>
    </row>
    <row r="299" spans="1:23" ht="16.2" thickBot="1" x14ac:dyDescent="0.35">
      <c r="A299" s="13" t="s">
        <v>822</v>
      </c>
      <c r="B299" s="35" t="s">
        <v>769</v>
      </c>
      <c r="D299" s="35">
        <v>1983</v>
      </c>
      <c r="E299" s="15">
        <v>69.099999999999994</v>
      </c>
      <c r="I299" s="38">
        <v>15.5</v>
      </c>
      <c r="J299" s="22"/>
      <c r="K299" s="22"/>
      <c r="L299" s="22"/>
      <c r="N299" s="28"/>
      <c r="P299" t="e">
        <f t="shared" si="22"/>
        <v>#DIV/0!</v>
      </c>
      <c r="Q299" t="e">
        <f t="shared" si="23"/>
        <v>#DIV/0!</v>
      </c>
      <c r="R299" t="e">
        <f t="shared" si="24"/>
        <v>#DIV/0!</v>
      </c>
      <c r="T299"/>
      <c r="W299"/>
    </row>
    <row r="300" spans="1:23" ht="16.2" thickTop="1" x14ac:dyDescent="0.3">
      <c r="A300" s="19" t="s">
        <v>823</v>
      </c>
      <c r="B300" s="37" t="s">
        <v>769</v>
      </c>
      <c r="D300" s="37">
        <v>1992</v>
      </c>
      <c r="E300" s="21">
        <v>68.8</v>
      </c>
      <c r="I300" s="24">
        <v>7.3</v>
      </c>
      <c r="J300" s="42">
        <v>17.5</v>
      </c>
      <c r="K300" s="21">
        <v>5.77</v>
      </c>
      <c r="N300" s="23">
        <v>3100</v>
      </c>
      <c r="P300">
        <f t="shared" si="22"/>
        <v>0</v>
      </c>
      <c r="Q300">
        <f t="shared" si="23"/>
        <v>3.0329289428076258</v>
      </c>
      <c r="R300">
        <f t="shared" si="24"/>
        <v>0</v>
      </c>
      <c r="T300"/>
      <c r="W300"/>
    </row>
    <row r="301" spans="1:23" ht="16.2" thickBot="1" x14ac:dyDescent="0.35">
      <c r="A301" s="13" t="s">
        <v>824</v>
      </c>
      <c r="B301" s="35" t="s">
        <v>769</v>
      </c>
      <c r="D301" s="35">
        <v>1984</v>
      </c>
      <c r="E301" s="15">
        <v>65.5</v>
      </c>
      <c r="I301" s="22"/>
      <c r="J301" s="22"/>
      <c r="K301" s="22"/>
      <c r="N301" s="28"/>
      <c r="P301" t="e">
        <f t="shared" si="22"/>
        <v>#DIV/0!</v>
      </c>
      <c r="Q301" t="e">
        <f t="shared" si="23"/>
        <v>#DIV/0!</v>
      </c>
      <c r="R301" t="e">
        <f t="shared" si="24"/>
        <v>#DIV/0!</v>
      </c>
      <c r="T301"/>
      <c r="W301"/>
    </row>
    <row r="302" spans="1:23" ht="16.2" thickTop="1" x14ac:dyDescent="0.3">
      <c r="A302" s="19" t="s">
        <v>825</v>
      </c>
      <c r="B302" s="37" t="s">
        <v>771</v>
      </c>
      <c r="D302" s="37">
        <v>2001</v>
      </c>
      <c r="E302" s="21">
        <v>60</v>
      </c>
      <c r="I302" s="41">
        <v>5</v>
      </c>
      <c r="J302" s="42">
        <v>13.3</v>
      </c>
      <c r="K302" s="21">
        <v>4.0999999999999996</v>
      </c>
      <c r="N302" s="23">
        <v>900</v>
      </c>
      <c r="P302">
        <f t="shared" si="22"/>
        <v>0</v>
      </c>
      <c r="Q302">
        <f t="shared" si="23"/>
        <v>3.2439024390243909</v>
      </c>
      <c r="R302">
        <f t="shared" si="24"/>
        <v>0</v>
      </c>
      <c r="T302"/>
      <c r="W302"/>
    </row>
    <row r="303" spans="1:23" ht="16.2" thickBot="1" x14ac:dyDescent="0.35">
      <c r="A303" s="29" t="s">
        <v>826</v>
      </c>
      <c r="B303" s="43" t="s">
        <v>771</v>
      </c>
      <c r="D303" s="43">
        <v>1999</v>
      </c>
      <c r="E303" s="31">
        <v>60</v>
      </c>
      <c r="I303" s="44">
        <v>5</v>
      </c>
      <c r="J303" s="45">
        <v>13.3</v>
      </c>
      <c r="K303" s="31">
        <v>4.0999999999999996</v>
      </c>
      <c r="N303" s="27">
        <v>800</v>
      </c>
      <c r="P303">
        <f t="shared" si="22"/>
        <v>0</v>
      </c>
      <c r="Q303">
        <f t="shared" si="23"/>
        <v>3.2439024390243909</v>
      </c>
      <c r="R303">
        <f t="shared" si="24"/>
        <v>0</v>
      </c>
      <c r="T303"/>
      <c r="W303"/>
    </row>
    <row r="308" spans="1:23" x14ac:dyDescent="0.3">
      <c r="A308" s="147" t="s">
        <v>827</v>
      </c>
      <c r="B308" s="148" t="s">
        <v>730</v>
      </c>
      <c r="C308" s="49" t="s">
        <v>731</v>
      </c>
      <c r="D308" s="50">
        <v>2012</v>
      </c>
      <c r="E308" s="49">
        <v>134.19999999999999</v>
      </c>
      <c r="F308" s="49"/>
      <c r="G308" s="49">
        <v>121.25</v>
      </c>
      <c r="H308" s="49">
        <f t="shared" ref="H308:H318" si="25">IF(F308="",G308,F308)</f>
        <v>121.25</v>
      </c>
      <c r="I308" s="49">
        <v>10.55</v>
      </c>
      <c r="J308" s="49">
        <v>21.7</v>
      </c>
      <c r="K308" s="49">
        <v>7.65</v>
      </c>
      <c r="L308" s="51">
        <f t="shared" ref="L308:L318" si="26">M308/1.025</f>
        <v>13353.170731707318</v>
      </c>
      <c r="M308" s="49">
        <v>13687</v>
      </c>
      <c r="N308" s="49">
        <v>4780</v>
      </c>
      <c r="O308" s="49"/>
      <c r="P308" s="49">
        <f t="shared" ref="P308:P318" si="27">H308/J308</f>
        <v>5.5875576036866361</v>
      </c>
      <c r="Q308" s="49">
        <f t="shared" ref="Q308:Q318" si="28">J308/K308</f>
        <v>2.8366013071895422</v>
      </c>
      <c r="R308" s="49">
        <f t="shared" ref="R308:R318" si="29">H308/K308</f>
        <v>15.849673202614378</v>
      </c>
      <c r="S308" s="49">
        <f t="shared" ref="S308:S313" si="30">H308/I308</f>
        <v>11.492890995260662</v>
      </c>
      <c r="T308" s="52">
        <f t="shared" ref="T308:T318" si="31">IF(M308="","",L308/(H308*J308*K308))</f>
        <v>0.66340919338635329</v>
      </c>
      <c r="U308" s="49">
        <v>9</v>
      </c>
      <c r="V308" s="49">
        <v>16</v>
      </c>
      <c r="W308" s="63">
        <f t="shared" ref="W308:W318" si="32">0.514*V308/(9.81*H308)^0.5</f>
        <v>0.23845570886018316</v>
      </c>
    </row>
    <row r="309" spans="1:23" x14ac:dyDescent="0.3">
      <c r="A309" s="147" t="s">
        <v>828</v>
      </c>
      <c r="B309" s="148" t="s">
        <v>829</v>
      </c>
      <c r="C309" s="49" t="s">
        <v>625</v>
      </c>
      <c r="D309" s="50">
        <v>2010</v>
      </c>
      <c r="E309" s="49">
        <v>65</v>
      </c>
      <c r="F309" s="49">
        <v>62.4</v>
      </c>
      <c r="G309" s="49">
        <v>62.4</v>
      </c>
      <c r="H309" s="49">
        <f t="shared" si="25"/>
        <v>62.4</v>
      </c>
      <c r="I309" s="49">
        <v>6.2</v>
      </c>
      <c r="J309" s="49">
        <v>15</v>
      </c>
      <c r="K309" s="49">
        <v>4.3</v>
      </c>
      <c r="L309" s="51">
        <f t="shared" si="26"/>
        <v>2692.6829268292686</v>
      </c>
      <c r="M309" s="49">
        <v>2760</v>
      </c>
      <c r="N309" s="49">
        <v>893</v>
      </c>
      <c r="O309" s="49">
        <v>60</v>
      </c>
      <c r="P309" s="49">
        <f t="shared" si="27"/>
        <v>4.16</v>
      </c>
      <c r="Q309" s="49">
        <f t="shared" si="28"/>
        <v>3.4883720930232558</v>
      </c>
      <c r="R309" s="49">
        <f t="shared" si="29"/>
        <v>14.511627906976745</v>
      </c>
      <c r="S309" s="49">
        <f t="shared" si="30"/>
        <v>10.064516129032258</v>
      </c>
      <c r="T309" s="52">
        <f t="shared" si="31"/>
        <v>0.66902279040679502</v>
      </c>
      <c r="U309" s="49">
        <v>5.3</v>
      </c>
      <c r="V309" s="49">
        <v>13</v>
      </c>
      <c r="W309" s="63">
        <f t="shared" si="32"/>
        <v>0.27007206976624215</v>
      </c>
    </row>
    <row r="310" spans="1:23" x14ac:dyDescent="0.3">
      <c r="A310" s="147" t="s">
        <v>830</v>
      </c>
      <c r="B310" s="148" t="s">
        <v>829</v>
      </c>
      <c r="C310" s="49" t="s">
        <v>625</v>
      </c>
      <c r="D310" s="50">
        <v>2010</v>
      </c>
      <c r="E310" s="49">
        <v>65</v>
      </c>
      <c r="F310" s="49">
        <v>62.4</v>
      </c>
      <c r="G310" s="49">
        <v>62.4</v>
      </c>
      <c r="H310" s="49">
        <f t="shared" si="25"/>
        <v>62.4</v>
      </c>
      <c r="I310" s="49">
        <v>6.2</v>
      </c>
      <c r="J310" s="49">
        <v>15</v>
      </c>
      <c r="K310" s="49">
        <v>4.3</v>
      </c>
      <c r="L310" s="51">
        <f t="shared" si="26"/>
        <v>2692.6829268292686</v>
      </c>
      <c r="M310" s="49">
        <v>2760</v>
      </c>
      <c r="N310" s="49">
        <v>893</v>
      </c>
      <c r="O310" s="49">
        <v>60</v>
      </c>
      <c r="P310" s="49">
        <f t="shared" si="27"/>
        <v>4.16</v>
      </c>
      <c r="Q310" s="49">
        <f t="shared" si="28"/>
        <v>3.4883720930232558</v>
      </c>
      <c r="R310" s="49">
        <f t="shared" si="29"/>
        <v>14.511627906976745</v>
      </c>
      <c r="S310" s="49">
        <f t="shared" si="30"/>
        <v>10.064516129032258</v>
      </c>
      <c r="T310" s="52">
        <f t="shared" si="31"/>
        <v>0.66902279040679502</v>
      </c>
      <c r="U310" s="49">
        <v>5.3</v>
      </c>
      <c r="V310" s="49">
        <v>13</v>
      </c>
      <c r="W310" s="63">
        <f t="shared" si="32"/>
        <v>0.27007206976624215</v>
      </c>
    </row>
    <row r="311" spans="1:23" x14ac:dyDescent="0.3">
      <c r="A311" s="147" t="s">
        <v>831</v>
      </c>
      <c r="B311" s="148" t="s">
        <v>829</v>
      </c>
      <c r="C311" s="49" t="s">
        <v>625</v>
      </c>
      <c r="D311" s="50">
        <v>2009</v>
      </c>
      <c r="E311" s="49">
        <v>65</v>
      </c>
      <c r="F311" s="49">
        <v>62.4</v>
      </c>
      <c r="G311" s="49">
        <v>62.4</v>
      </c>
      <c r="H311" s="49">
        <f t="shared" si="25"/>
        <v>62.4</v>
      </c>
      <c r="I311" s="49">
        <v>6.2</v>
      </c>
      <c r="J311" s="49">
        <v>15</v>
      </c>
      <c r="K311" s="49">
        <v>4.3</v>
      </c>
      <c r="L311" s="51">
        <f t="shared" si="26"/>
        <v>2692.6829268292686</v>
      </c>
      <c r="M311" s="49">
        <v>2760</v>
      </c>
      <c r="N311" s="49">
        <v>893</v>
      </c>
      <c r="O311" s="49">
        <v>60</v>
      </c>
      <c r="P311" s="49">
        <f t="shared" si="27"/>
        <v>4.16</v>
      </c>
      <c r="Q311" s="49">
        <f t="shared" si="28"/>
        <v>3.4883720930232558</v>
      </c>
      <c r="R311" s="49">
        <f t="shared" si="29"/>
        <v>14.511627906976745</v>
      </c>
      <c r="S311" s="49">
        <f t="shared" si="30"/>
        <v>10.064516129032258</v>
      </c>
      <c r="T311" s="52">
        <f t="shared" si="31"/>
        <v>0.66902279040679502</v>
      </c>
      <c r="U311" s="49">
        <v>5.3</v>
      </c>
      <c r="V311" s="49">
        <v>13</v>
      </c>
      <c r="W311" s="63">
        <f t="shared" si="32"/>
        <v>0.27007206976624215</v>
      </c>
    </row>
    <row r="312" spans="1:23" x14ac:dyDescent="0.3">
      <c r="A312" s="147" t="s">
        <v>832</v>
      </c>
      <c r="B312" s="148" t="s">
        <v>829</v>
      </c>
      <c r="C312" s="49" t="s">
        <v>625</v>
      </c>
      <c r="D312" s="50">
        <v>2009</v>
      </c>
      <c r="E312" s="49">
        <v>65</v>
      </c>
      <c r="F312" s="49">
        <v>62.4</v>
      </c>
      <c r="G312" s="49">
        <v>62.4</v>
      </c>
      <c r="H312" s="49">
        <f t="shared" si="25"/>
        <v>62.4</v>
      </c>
      <c r="I312" s="49">
        <v>6.2</v>
      </c>
      <c r="J312" s="49">
        <v>15</v>
      </c>
      <c r="K312" s="49">
        <v>4.3</v>
      </c>
      <c r="L312" s="51">
        <f t="shared" si="26"/>
        <v>2692.6829268292686</v>
      </c>
      <c r="M312" s="49">
        <v>2760</v>
      </c>
      <c r="N312" s="49">
        <v>893</v>
      </c>
      <c r="O312" s="49">
        <v>60</v>
      </c>
      <c r="P312" s="49">
        <f t="shared" si="27"/>
        <v>4.16</v>
      </c>
      <c r="Q312" s="49">
        <f t="shared" si="28"/>
        <v>3.4883720930232558</v>
      </c>
      <c r="R312" s="49">
        <f t="shared" si="29"/>
        <v>14.511627906976745</v>
      </c>
      <c r="S312" s="49">
        <f t="shared" si="30"/>
        <v>10.064516129032258</v>
      </c>
      <c r="T312" s="52">
        <f t="shared" si="31"/>
        <v>0.66902279040679502</v>
      </c>
      <c r="U312" s="49">
        <v>5.3</v>
      </c>
      <c r="V312" s="49">
        <v>13</v>
      </c>
      <c r="W312" s="63">
        <f t="shared" si="32"/>
        <v>0.27007206976624215</v>
      </c>
    </row>
    <row r="313" spans="1:23" x14ac:dyDescent="0.3">
      <c r="A313" s="147" t="s">
        <v>833</v>
      </c>
      <c r="B313" s="148" t="s">
        <v>624</v>
      </c>
      <c r="C313" s="49" t="s">
        <v>625</v>
      </c>
      <c r="D313" s="50">
        <v>2009</v>
      </c>
      <c r="E313" s="49">
        <v>114</v>
      </c>
      <c r="F313" s="49"/>
      <c r="G313" s="49">
        <v>103.68</v>
      </c>
      <c r="H313" s="49">
        <f t="shared" si="25"/>
        <v>103.68</v>
      </c>
      <c r="I313" s="49">
        <v>12.4</v>
      </c>
      <c r="J313" s="49">
        <v>26.5</v>
      </c>
      <c r="K313" s="49">
        <v>8.5</v>
      </c>
      <c r="L313" s="51">
        <f t="shared" si="26"/>
        <v>13951.219512195123</v>
      </c>
      <c r="M313" s="49">
        <v>14300</v>
      </c>
      <c r="N313" s="49">
        <v>7107</v>
      </c>
      <c r="O313" s="49"/>
      <c r="P313" s="49">
        <f t="shared" si="27"/>
        <v>3.9124528301886796</v>
      </c>
      <c r="Q313" s="49">
        <f t="shared" si="28"/>
        <v>3.1176470588235294</v>
      </c>
      <c r="R313" s="49">
        <f t="shared" si="29"/>
        <v>12.197647058823531</v>
      </c>
      <c r="S313" s="49">
        <f t="shared" si="30"/>
        <v>8.3612903225806452</v>
      </c>
      <c r="T313" s="52">
        <f t="shared" si="31"/>
        <v>0.59738234575587845</v>
      </c>
      <c r="U313" s="49">
        <v>16</v>
      </c>
      <c r="V313" s="49">
        <v>16</v>
      </c>
      <c r="W313" s="63">
        <f t="shared" si="32"/>
        <v>0.25787016829629522</v>
      </c>
    </row>
    <row r="314" spans="1:23" x14ac:dyDescent="0.3">
      <c r="A314" s="147" t="s">
        <v>701</v>
      </c>
      <c r="B314" s="148" t="s">
        <v>702</v>
      </c>
      <c r="C314" s="49" t="s">
        <v>703</v>
      </c>
      <c r="D314" s="50">
        <v>2009</v>
      </c>
      <c r="E314" s="49">
        <v>138</v>
      </c>
      <c r="F314" s="49">
        <v>126</v>
      </c>
      <c r="G314" s="49"/>
      <c r="H314" s="49">
        <f t="shared" si="25"/>
        <v>126</v>
      </c>
      <c r="I314" s="49"/>
      <c r="J314" s="49">
        <v>27</v>
      </c>
      <c r="K314" s="49">
        <v>9.1999999999999993</v>
      </c>
      <c r="L314" s="51">
        <f t="shared" si="26"/>
        <v>12391.219512195123</v>
      </c>
      <c r="M314" s="49">
        <v>12701</v>
      </c>
      <c r="N314" s="49"/>
      <c r="O314" s="49"/>
      <c r="P314" s="49">
        <f t="shared" si="27"/>
        <v>4.666666666666667</v>
      </c>
      <c r="Q314" s="49">
        <f t="shared" si="28"/>
        <v>2.9347826086956523</v>
      </c>
      <c r="R314" s="49">
        <f t="shared" si="29"/>
        <v>13.695652173913045</v>
      </c>
      <c r="S314" s="49"/>
      <c r="T314" s="52">
        <f t="shared" si="31"/>
        <v>0.3959058454168623</v>
      </c>
      <c r="U314" s="49">
        <v>22.1</v>
      </c>
      <c r="V314" s="49">
        <v>15</v>
      </c>
      <c r="W314" s="63">
        <f t="shared" si="32"/>
        <v>0.21929796509604738</v>
      </c>
    </row>
    <row r="315" spans="1:23" x14ac:dyDescent="0.3">
      <c r="A315" s="147" t="s">
        <v>834</v>
      </c>
      <c r="B315" s="148" t="s">
        <v>829</v>
      </c>
      <c r="C315" s="49" t="s">
        <v>625</v>
      </c>
      <c r="D315" s="50">
        <v>2008</v>
      </c>
      <c r="E315" s="49">
        <v>81.599999999999994</v>
      </c>
      <c r="F315" s="49">
        <v>73.3</v>
      </c>
      <c r="G315" s="49"/>
      <c r="H315" s="49">
        <f t="shared" si="25"/>
        <v>73.3</v>
      </c>
      <c r="I315" s="49">
        <v>11.2</v>
      </c>
      <c r="J315" s="49">
        <v>18.5</v>
      </c>
      <c r="K315" s="49">
        <v>9.1</v>
      </c>
      <c r="L315" s="51">
        <f t="shared" si="26"/>
        <v>6373.6585365853662</v>
      </c>
      <c r="M315" s="49">
        <v>6533</v>
      </c>
      <c r="N315" s="49">
        <v>1930</v>
      </c>
      <c r="O315" s="49"/>
      <c r="P315" s="49">
        <f t="shared" si="27"/>
        <v>3.9621621621621621</v>
      </c>
      <c r="Q315" s="49">
        <f t="shared" si="28"/>
        <v>2.0329670329670328</v>
      </c>
      <c r="R315" s="49">
        <f t="shared" si="29"/>
        <v>8.0549450549450547</v>
      </c>
      <c r="S315" s="49">
        <f>H315/I315</f>
        <v>6.5446428571428577</v>
      </c>
      <c r="T315" s="52">
        <f t="shared" si="31"/>
        <v>0.51650163119899928</v>
      </c>
      <c r="U315" s="49">
        <v>10.4</v>
      </c>
      <c r="V315" s="49">
        <v>15</v>
      </c>
      <c r="W315" s="63">
        <f t="shared" si="32"/>
        <v>0.28751988564963488</v>
      </c>
    </row>
    <row r="316" spans="1:23" x14ac:dyDescent="0.3">
      <c r="A316" s="147" t="s">
        <v>835</v>
      </c>
      <c r="B316" s="148" t="s">
        <v>829</v>
      </c>
      <c r="C316" s="49" t="s">
        <v>625</v>
      </c>
      <c r="D316" s="50">
        <v>2008</v>
      </c>
      <c r="E316" s="49">
        <v>100</v>
      </c>
      <c r="F316" s="49">
        <v>88.8</v>
      </c>
      <c r="G316" s="49">
        <v>88.8</v>
      </c>
      <c r="H316" s="49">
        <f t="shared" si="25"/>
        <v>88.8</v>
      </c>
      <c r="I316" s="49">
        <v>13.3</v>
      </c>
      <c r="J316" s="49">
        <v>21</v>
      </c>
      <c r="K316" s="49">
        <v>10.5</v>
      </c>
      <c r="L316" s="51">
        <f t="shared" si="26"/>
        <v>10608.780487804879</v>
      </c>
      <c r="M316" s="49">
        <v>10874</v>
      </c>
      <c r="N316" s="49">
        <v>4643</v>
      </c>
      <c r="O316" s="49"/>
      <c r="P316" s="49">
        <f t="shared" si="27"/>
        <v>4.2285714285714286</v>
      </c>
      <c r="Q316" s="49">
        <f t="shared" si="28"/>
        <v>2</v>
      </c>
      <c r="R316" s="49">
        <f t="shared" si="29"/>
        <v>8.4571428571428573</v>
      </c>
      <c r="S316" s="49">
        <f>H316/I316</f>
        <v>6.6766917293233075</v>
      </c>
      <c r="T316" s="52">
        <f t="shared" si="31"/>
        <v>0.5418061167190088</v>
      </c>
      <c r="U316" s="49">
        <v>16.8</v>
      </c>
      <c r="V316" s="49">
        <v>15</v>
      </c>
      <c r="W316" s="63">
        <f t="shared" si="32"/>
        <v>0.26122419016444159</v>
      </c>
    </row>
    <row r="317" spans="1:23" x14ac:dyDescent="0.3">
      <c r="A317" s="147" t="s">
        <v>836</v>
      </c>
      <c r="B317" s="148" t="s">
        <v>659</v>
      </c>
      <c r="C317" s="49" t="s">
        <v>625</v>
      </c>
      <c r="D317" s="50">
        <v>2007</v>
      </c>
      <c r="E317" s="49">
        <v>159.6</v>
      </c>
      <c r="F317" s="49"/>
      <c r="G317" s="49">
        <v>138.9</v>
      </c>
      <c r="H317" s="49">
        <f t="shared" si="25"/>
        <v>138.9</v>
      </c>
      <c r="I317" s="49">
        <v>17.2</v>
      </c>
      <c r="J317" s="49">
        <v>30</v>
      </c>
      <c r="K317" s="49">
        <v>11</v>
      </c>
      <c r="L317" s="51">
        <f t="shared" si="26"/>
        <v>25209.756097560978</v>
      </c>
      <c r="M317" s="49">
        <v>25840</v>
      </c>
      <c r="N317" s="49"/>
      <c r="O317" s="49"/>
      <c r="P317" s="49">
        <f t="shared" si="27"/>
        <v>4.63</v>
      </c>
      <c r="Q317" s="49">
        <f t="shared" si="28"/>
        <v>2.7272727272727271</v>
      </c>
      <c r="R317" s="49">
        <f t="shared" si="29"/>
        <v>12.627272727272727</v>
      </c>
      <c r="S317" s="49">
        <f>H317/I317</f>
        <v>8.0755813953488378</v>
      </c>
      <c r="T317" s="52">
        <f t="shared" si="31"/>
        <v>0.5499870431651499</v>
      </c>
      <c r="U317" s="49">
        <v>52.8</v>
      </c>
      <c r="V317" s="49">
        <v>21</v>
      </c>
      <c r="W317" s="63">
        <f t="shared" si="32"/>
        <v>0.29241307455893756</v>
      </c>
    </row>
    <row r="318" spans="1:23" x14ac:dyDescent="0.3">
      <c r="A318" s="147" t="s">
        <v>837</v>
      </c>
      <c r="B318" s="148" t="s">
        <v>829</v>
      </c>
      <c r="C318" s="49" t="s">
        <v>625</v>
      </c>
      <c r="D318" s="50">
        <v>2007</v>
      </c>
      <c r="E318" s="49">
        <v>65</v>
      </c>
      <c r="F318" s="49"/>
      <c r="G318" s="49">
        <v>62.36</v>
      </c>
      <c r="H318" s="49">
        <f t="shared" si="25"/>
        <v>62.36</v>
      </c>
      <c r="I318" s="49">
        <v>6.2</v>
      </c>
      <c r="J318" s="49">
        <v>15</v>
      </c>
      <c r="K318" s="49">
        <v>4.3</v>
      </c>
      <c r="L318" s="51">
        <f t="shared" si="26"/>
        <v>2630.2439024390246</v>
      </c>
      <c r="M318" s="49">
        <v>2696</v>
      </c>
      <c r="N318" s="49">
        <v>980</v>
      </c>
      <c r="O318" s="49">
        <v>60</v>
      </c>
      <c r="P318" s="49">
        <f t="shared" si="27"/>
        <v>4.1573333333333329</v>
      </c>
      <c r="Q318" s="49">
        <f t="shared" si="28"/>
        <v>3.4883720930232558</v>
      </c>
      <c r="R318" s="49">
        <f t="shared" si="29"/>
        <v>14.502325581395349</v>
      </c>
      <c r="S318" s="49">
        <f>H318/I318</f>
        <v>10.058064516129033</v>
      </c>
      <c r="T318" s="52">
        <f t="shared" si="31"/>
        <v>0.65392840332926216</v>
      </c>
      <c r="U318" s="49">
        <v>5.3</v>
      </c>
      <c r="V318" s="49">
        <v>13</v>
      </c>
      <c r="W318" s="63">
        <f t="shared" si="32"/>
        <v>0.27015867296544299</v>
      </c>
    </row>
  </sheetData>
  <mergeCells count="17">
    <mergeCell ref="A1:B1"/>
    <mergeCell ref="A17:C18"/>
    <mergeCell ref="B43:E44"/>
    <mergeCell ref="B63:E64"/>
    <mergeCell ref="L63:O64"/>
    <mergeCell ref="L23:O24"/>
    <mergeCell ref="B23:F24"/>
    <mergeCell ref="L43:O44"/>
    <mergeCell ref="U43:Y44"/>
    <mergeCell ref="U23:X24"/>
    <mergeCell ref="A123:B123"/>
    <mergeCell ref="A249:B249"/>
    <mergeCell ref="Z212:AB216"/>
    <mergeCell ref="B83:F84"/>
    <mergeCell ref="V83:W84"/>
    <mergeCell ref="U63:X64"/>
    <mergeCell ref="M83:N84"/>
  </mergeCells>
  <hyperlinks>
    <hyperlink ref="A250" r:id="rId1" display="http://www.supplyvessel.net/offshore-vessels/viking-energy" xr:uid="{D5E4B195-E4E9-4842-BE97-C76F5B22BF85}"/>
    <hyperlink ref="A251" r:id="rId2" display="http://www.supplyvessel.net/offshore-vessels/havila-foresight" xr:uid="{2D208F1C-9524-41F2-B22F-C27C61DACD3D}"/>
    <hyperlink ref="A252" r:id="rId3" display="http://www.supplyvessel.net/offshore-vessels/aries-swan" xr:uid="{7239A99D-44B9-4166-BBFA-112F83C1A8EE}"/>
    <hyperlink ref="A253" r:id="rId4" display="http://www.supplyvessel.net/offshore-vessels/island-valiant" xr:uid="{392ED5FB-DF7D-4DF4-8A96-B2A3C0C1F2C4}"/>
    <hyperlink ref="A254" r:id="rId5" display="http://www.supplyvessel.net/offshore-vessels/far-superior" xr:uid="{114B7AA3-7D53-4848-9086-9479B47B2BE7}"/>
    <hyperlink ref="A255" r:id="rId6" display="http://www.supplyvessel.net/offshore-vessels/bourbon-peridot" xr:uid="{B1268049-CF53-40F0-B8E8-3EF05CFE1E93}"/>
    <hyperlink ref="A256" r:id="rId7" display="http://www.supplyvessel.net/offshore-vessels/bourbon-pearl" xr:uid="{ADE2D005-ED31-4A70-9618-EA90F6C0983B}"/>
    <hyperlink ref="A257" r:id="rId8" display="http://www.supplyvessel.net/offshore-vessels/maersk-logger" xr:uid="{9E6EB5FF-F93F-4668-B1C4-D2135D7A73EE}"/>
    <hyperlink ref="A258" r:id="rId9" display="http://www.supplyvessel.net/offshore-vessels/maersk-attender" xr:uid="{A155E145-4E2C-4E79-8750-C9AA115FA580}"/>
    <hyperlink ref="A259" r:id="rId10" display="http://www.supplyvessel.net/offshore-vessels/viking-dynamic" xr:uid="{840A4259-9278-4FD5-9D22-FD3169D3984C}"/>
    <hyperlink ref="A260" r:id="rId11" display="http://www.supplyvessel.net/offshore-vessels/bourbon-mistral" xr:uid="{B7D1485F-970E-4DE8-8F1C-3D5542B34CB6}"/>
    <hyperlink ref="A261" r:id="rId12" display="http://www.supplyvessel.net/offshore-vessels/normand-flipper" xr:uid="{350AE3F9-C526-497F-9E29-FAB7B29E4463}"/>
    <hyperlink ref="A262" r:id="rId13" display="http://www.supplyvessel.net/offshore-vessels/bourbon-surf" xr:uid="{0AEF160B-FD38-4181-9E68-B1382891B820}"/>
    <hyperlink ref="A263" r:id="rId14" display="http://www.supplyvessel.net/offshore-vessels/bourbon-borgstein" xr:uid="{5BCFDBFB-6DB9-4C3F-A20B-93EE0162B766}"/>
    <hyperlink ref="A264" r:id="rId15" display="http://www.supplyvessel.net/offshore-vessels/island-vanguard" xr:uid="{5D5A9ECA-2DD0-4449-9A87-1A64FF5BAC10}"/>
    <hyperlink ref="A265" r:id="rId16" display="http://www.supplyvessel.net/offshore-vessels/normand-aurora" xr:uid="{ADB11D19-BBB9-4044-B126-6C738EC1A9CE}"/>
    <hyperlink ref="A266" r:id="rId17" display="http://www.supplyvessel.net/offshore-vessels/bourbon-topaz" xr:uid="{329855E1-582E-4744-BAAF-9ED237DA90D4}"/>
    <hyperlink ref="A267" r:id="rId18" display="http://www.supplyvessel.net/offshore-vessels/bourbon-orca" xr:uid="{8DD80D13-0B43-4476-8046-8BA06BBE5639}"/>
    <hyperlink ref="A268" r:id="rId19" display="http://www.supplyvessel.net/offshore-vessels/island-patriot" xr:uid="{1A72392D-7158-44E5-B1FE-D5BE93F048DA}"/>
    <hyperlink ref="A269" r:id="rId20" display="http://www.supplyvessel.net/offshore-vessels/havila-mars" xr:uid="{E98A60BD-84B4-45F5-924A-246AF61D0199}"/>
    <hyperlink ref="A270" r:id="rId21" display="http://www.supplyvessel.net/offshore-vessels/normand-carrier" xr:uid="{B8DDA025-921D-4D78-8922-A2B5CCC15FFD}"/>
    <hyperlink ref="A271" r:id="rId22" display="http://www.supplyvessel.net/offshore-vessels/edda-frigg" xr:uid="{86332289-22F0-41C2-9419-75E895F79D2A}"/>
    <hyperlink ref="A272" r:id="rId23" display="http://www.supplyvessel.net/offshore-vessels/tor-viking" xr:uid="{A97CDCD2-E23E-42E1-BC4E-EE501019F643}"/>
    <hyperlink ref="A273" r:id="rId24" display="http://www.supplyvessel.net/offshore-vessels/havila-faith" xr:uid="{1F3F63A7-8641-4A45-878D-ACB89EEC6E7E}"/>
    <hyperlink ref="A274" r:id="rId25" display="http://www.supplyvessel.net/offshore-vessels/havila-fortress" xr:uid="{5CB9026E-06CB-40C6-A7D0-F5BB19608BDB}"/>
    <hyperlink ref="A275" r:id="rId26" display="http://www.supplyvessel.net/offshore-vessels/havila-favour" xr:uid="{F91F3929-8CB8-4BC7-9B70-59572CE96BF3}"/>
    <hyperlink ref="A276" r:id="rId27" display="http://www.supplyvessel.net/offshore-vessels/northern-clipper" xr:uid="{D432036B-0A8E-4E88-913F-F6567CFAF027}"/>
    <hyperlink ref="A277" r:id="rId28" display="http://www.supplyvessel.net/offshore-vessels/normand-master" xr:uid="{F9FD2830-C9F3-4E18-A6E8-C0CF0456224D}"/>
    <hyperlink ref="A278" r:id="rId29" display="http://www.supplyvessel.net/offshore-vessels/normand-mariner" xr:uid="{DAE82F74-56D3-42F5-864F-CF2E1822C077}"/>
    <hyperlink ref="A279" r:id="rId30" display="http://www.supplyvessel.net/offshore-vessels/olympic-pegasus" xr:uid="{8DF86AD0-3D75-4FF0-834C-6783FC0D2296}"/>
    <hyperlink ref="A280" r:id="rId31" display="http://www.supplyvessel.net/offshore-vessels/ocean-mainport" xr:uid="{6773F0B3-F0AA-4F3C-8810-3715FD29E339}"/>
    <hyperlink ref="A281" r:id="rId32" display="http://www.supplyvessel.net/offshore-vessels/normand-atlantic" xr:uid="{F2AA11E4-0A27-4F6C-A8B4-FA1A1A0EC742}"/>
    <hyperlink ref="A282" r:id="rId33" display="http://www.supplyvessel.net/offshore-vessels/bourbon-crown" xr:uid="{78D8D640-FED7-4A62-AC3F-10336CE19831}"/>
    <hyperlink ref="A283" r:id="rId34" display="http://www.supplyvessel.net/offshore-vessels/ocean-king" xr:uid="{799737D4-C838-42F4-A652-981F9DE85FF6}"/>
    <hyperlink ref="A284" r:id="rId35" display="http://www.supplyvessel.net/offshore-vessels/havila-fortune" xr:uid="{434D11C2-8CA1-4293-B72C-B99397B66C71}"/>
    <hyperlink ref="A285" r:id="rId36" display="http://www.supplyvessel.net/offshore-vessels/havila-neptun" xr:uid="{4EE57E9C-EA0D-4B5C-9293-BCD9B47084B5}"/>
    <hyperlink ref="A286" r:id="rId37" display="http://www.supplyvessel.net/offshore-vessels/viking-troll" xr:uid="{CDF2C013-243F-4294-8777-F6BF68895BCF}"/>
    <hyperlink ref="A287" r:id="rId38" display="http://www.supplyvessel.net/offshore-vessels/odin-viking" xr:uid="{2FDE9037-45F7-4CE9-9B81-217F7EA20D26}"/>
    <hyperlink ref="A288" r:id="rId39" display="http://www.supplyvessel.net/offshore-vessels/northern-crusader" xr:uid="{E8AF81B6-DBC4-4F60-A7A7-2EB65CA21A67}"/>
    <hyperlink ref="A289" r:id="rId40" display="http://www.supplyvessel.net/offshore-vessels/aries-warrior" xr:uid="{D0C7E3A7-5E03-48E9-8E7E-7ADA45F1435F}"/>
    <hyperlink ref="A290" r:id="rId41" display="http://www.supplyvessel.net/offshore-vessels/havila-princess" xr:uid="{DB84AC43-94ED-458A-9250-B798010CC4B0}"/>
    <hyperlink ref="A291" r:id="rId42" display="http://www.supplyvessel.net/offshore-vessels/viking-athene" xr:uid="{5D4A5EA8-8474-4CAA-9FC9-AB0820A4FE59}"/>
    <hyperlink ref="A292" r:id="rId43" display="http://www.supplyvessel.net/offshore-vessels/viking-thaumas" xr:uid="{4691E33B-9B75-4B3B-910E-5F0F581F5488}"/>
    <hyperlink ref="A293" r:id="rId44" display="http://www.supplyvessel.net/offshore-vessels/adams-aquanaut" xr:uid="{C2D0A412-AADA-42F7-B1F5-4F9F3E58C279}"/>
    <hyperlink ref="A294" r:id="rId45" display="http://www.supplyvessel.net/offshore-vessels/maersk-tackler" xr:uid="{8B75C6C4-E968-4E52-BECA-D673936ED0A9}"/>
    <hyperlink ref="A295" r:id="rId46" display="http://www.supplyvessel.net/offshore-vessels/kl-arendalfjord" xr:uid="{0A1272AE-829E-414E-8770-EB599AE2BEE6}"/>
    <hyperlink ref="A296" r:id="rId47" display="http://www.supplyvessel.net/offshore-vessels/viking-surf" xr:uid="{10606490-43E8-4F61-A149-558B4372FB1A}"/>
    <hyperlink ref="A297" r:id="rId48" display="http://www.supplyvessel.net/offshore-vessels/adams-surveyor" xr:uid="{DAA194E4-7BF1-434E-ABD2-149857D72A2E}"/>
    <hyperlink ref="A298" r:id="rId49" display="http://www.supplyvessel.net/offshore-vessels/ocean-viking" xr:uid="{D940FDFC-7E4F-476C-9289-D0E9EBCE77D0}"/>
    <hyperlink ref="A299" r:id="rId50" display="http://www.supplyvessel.net/offshore-vessels/ocean-spirit" xr:uid="{F2E45618-FEE1-46C1-AA21-115969B4D6EB}"/>
    <hyperlink ref="A300" r:id="rId51" display="http://www.supplyvessel.net/offshore-vessels/boa-fortune" xr:uid="{E09C0D52-503A-4C69-A69D-93625DF59252}"/>
    <hyperlink ref="A301" r:id="rId52" display="http://www.supplyvessel.net/offshore-vessels/aries-lord" xr:uid="{DED8602C-DE8F-43EF-AA98-CBF93F48BAD2}"/>
    <hyperlink ref="A302" r:id="rId53" display="http://www.supplyvessel.net/offshore-vessels/adams-nomad" xr:uid="{9798AF47-AA6B-49AC-B6BE-DDDFF932FAFB}"/>
    <hyperlink ref="A303" r:id="rId54" display="http://www.supplyvessel.net/offshore-vessels/adams-arrow" xr:uid="{7CE491A2-2DEC-44D5-BC19-1E1383DF3E91}"/>
  </hyperlinks>
  <pageMargins left="0.7" right="0.7" top="0.75" bottom="0.75" header="0.3" footer="0.3"/>
  <pageSetup paperSize="9" orientation="portrait" r:id="rId55"/>
  <drawing r:id="rId56"/>
  <legacyDrawing r:id="rId57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B7EB4-F6BC-4C55-87FE-B59D4EEF6978}">
  <sheetPr codeName="Sheet7"/>
  <dimension ref="A1:AC190"/>
  <sheetViews>
    <sheetView zoomScaleNormal="100" workbookViewId="0">
      <selection activeCell="E18" sqref="E18"/>
    </sheetView>
  </sheetViews>
  <sheetFormatPr defaultRowHeight="14.4" x14ac:dyDescent="0.3"/>
  <cols>
    <col min="1" max="1" width="27" style="1" customWidth="1"/>
    <col min="2" max="2" width="40.77734375" style="1" bestFit="1" customWidth="1"/>
    <col min="4" max="4" width="9.5546875" style="1" bestFit="1" customWidth="1"/>
    <col min="5" max="7" width="9.21875" customWidth="1"/>
    <col min="12" max="12" width="13.77734375" bestFit="1" customWidth="1"/>
    <col min="16" max="19" width="9.21875" customWidth="1"/>
    <col min="20" max="20" width="9.21875" style="2"/>
    <col min="22" max="22" width="9.21875" customWidth="1"/>
    <col min="23" max="23" width="9.21875" style="2"/>
    <col min="24" max="24" width="0" hidden="1" customWidth="1"/>
    <col min="25" max="25" width="12" customWidth="1"/>
    <col min="29" max="29" width="9.21875" style="3"/>
  </cols>
  <sheetData>
    <row r="1" spans="1:23" ht="15" thickBot="1" x14ac:dyDescent="0.35">
      <c r="A1" s="282" t="s">
        <v>0</v>
      </c>
      <c r="B1" s="282"/>
      <c r="D1"/>
      <c r="T1"/>
      <c r="W1"/>
    </row>
    <row r="2" spans="1:23" x14ac:dyDescent="0.3">
      <c r="A2" s="171" t="s">
        <v>1</v>
      </c>
      <c r="B2" s="172">
        <v>100</v>
      </c>
      <c r="C2" s="173" t="s">
        <v>229</v>
      </c>
      <c r="D2"/>
      <c r="T2"/>
      <c r="W2"/>
    </row>
    <row r="3" spans="1:23" x14ac:dyDescent="0.3">
      <c r="A3" s="174" t="s">
        <v>2</v>
      </c>
      <c r="B3" s="144">
        <v>20</v>
      </c>
      <c r="C3" s="175" t="s">
        <v>229</v>
      </c>
      <c r="D3"/>
      <c r="T3"/>
      <c r="W3"/>
    </row>
    <row r="4" spans="1:23" x14ac:dyDescent="0.3">
      <c r="A4" s="174" t="s">
        <v>3</v>
      </c>
      <c r="B4" s="144">
        <v>5</v>
      </c>
      <c r="C4" s="175" t="s">
        <v>229</v>
      </c>
      <c r="D4"/>
      <c r="T4"/>
      <c r="W4"/>
    </row>
    <row r="5" spans="1:23" ht="15" customHeight="1" x14ac:dyDescent="0.3">
      <c r="A5" s="174" t="s">
        <v>4</v>
      </c>
      <c r="B5" s="144">
        <v>8</v>
      </c>
      <c r="C5" s="175" t="s">
        <v>229</v>
      </c>
      <c r="D5"/>
      <c r="E5" s="170"/>
      <c r="F5" s="170"/>
      <c r="G5" s="170"/>
      <c r="H5" s="170"/>
      <c r="I5" s="170"/>
      <c r="J5" s="170"/>
      <c r="T5"/>
      <c r="W5"/>
    </row>
    <row r="6" spans="1:23" ht="15" customHeight="1" x14ac:dyDescent="0.3">
      <c r="A6" s="174" t="s">
        <v>5</v>
      </c>
      <c r="B6" s="144">
        <v>2000</v>
      </c>
      <c r="C6" s="175" t="s">
        <v>231</v>
      </c>
      <c r="D6"/>
      <c r="E6" s="170"/>
      <c r="F6" s="170"/>
      <c r="G6" s="170"/>
      <c r="H6" s="170"/>
      <c r="I6" s="170"/>
      <c r="J6" s="170"/>
      <c r="T6"/>
      <c r="W6"/>
    </row>
    <row r="7" spans="1:23" ht="15" customHeight="1" x14ac:dyDescent="0.3">
      <c r="A7" s="174" t="s">
        <v>6</v>
      </c>
      <c r="B7" s="144">
        <v>0.75</v>
      </c>
      <c r="C7" s="175"/>
      <c r="D7"/>
      <c r="E7" s="170"/>
      <c r="F7" s="170"/>
      <c r="G7" s="170"/>
      <c r="H7" s="170"/>
      <c r="I7" s="170"/>
      <c r="J7" s="170"/>
      <c r="T7"/>
      <c r="W7"/>
    </row>
    <row r="8" spans="1:23" ht="15" customHeight="1" x14ac:dyDescent="0.3">
      <c r="A8" s="174" t="s">
        <v>7</v>
      </c>
      <c r="B8" s="144">
        <v>18</v>
      </c>
      <c r="C8" s="175" t="s">
        <v>232</v>
      </c>
      <c r="D8"/>
      <c r="E8" s="170"/>
      <c r="F8" s="170"/>
      <c r="G8" s="170"/>
      <c r="H8" s="170"/>
      <c r="I8" s="170"/>
      <c r="J8" s="170"/>
      <c r="T8"/>
      <c r="W8"/>
    </row>
    <row r="9" spans="1:23" ht="15" customHeight="1" x14ac:dyDescent="0.3">
      <c r="A9" s="174" t="s">
        <v>233</v>
      </c>
      <c r="B9" s="144">
        <v>5</v>
      </c>
      <c r="C9" s="175" t="s">
        <v>569</v>
      </c>
      <c r="D9"/>
      <c r="E9" s="170"/>
      <c r="F9" s="170"/>
      <c r="G9" s="170"/>
      <c r="H9" s="170"/>
      <c r="I9" s="170"/>
      <c r="J9" s="170"/>
      <c r="T9"/>
      <c r="W9"/>
    </row>
    <row r="10" spans="1:23" ht="15" customHeight="1" x14ac:dyDescent="0.3">
      <c r="A10" s="174" t="s">
        <v>9</v>
      </c>
      <c r="B10" s="49">
        <f>B2/B3</f>
        <v>5</v>
      </c>
      <c r="C10" s="176"/>
      <c r="D10"/>
      <c r="E10" s="170"/>
      <c r="F10" s="170"/>
      <c r="G10" s="170"/>
      <c r="H10" s="170"/>
      <c r="I10" s="170"/>
      <c r="J10" s="170"/>
      <c r="T10"/>
      <c r="W10"/>
    </row>
    <row r="11" spans="1:23" ht="15" customHeight="1" x14ac:dyDescent="0.3">
      <c r="A11" s="174" t="s">
        <v>10</v>
      </c>
      <c r="B11" s="49">
        <f>B3/B4</f>
        <v>4</v>
      </c>
      <c r="C11" s="176"/>
      <c r="D11"/>
      <c r="E11" s="170"/>
      <c r="F11" s="170"/>
      <c r="G11" s="170"/>
      <c r="H11" s="170"/>
      <c r="I11" s="170"/>
      <c r="J11" s="170"/>
      <c r="T11"/>
      <c r="W11"/>
    </row>
    <row r="12" spans="1:23" ht="15" customHeight="1" x14ac:dyDescent="0.3">
      <c r="A12" s="174" t="s">
        <v>11</v>
      </c>
      <c r="B12" s="49">
        <f>B2/B5</f>
        <v>12.5</v>
      </c>
      <c r="C12" s="176"/>
      <c r="D12"/>
      <c r="E12" s="170"/>
      <c r="F12" s="170"/>
      <c r="G12" s="170"/>
      <c r="H12" s="170"/>
      <c r="I12" s="170"/>
      <c r="J12" s="170"/>
      <c r="T12"/>
      <c r="W12"/>
    </row>
    <row r="13" spans="1:23" x14ac:dyDescent="0.3">
      <c r="A13" s="174" t="s">
        <v>12</v>
      </c>
      <c r="B13" s="49">
        <f>B2/(B7*B2*B3*B4)^(1/3)</f>
        <v>5.1087295492903531</v>
      </c>
      <c r="C13" s="176"/>
      <c r="D13"/>
      <c r="T13"/>
      <c r="W13"/>
    </row>
    <row r="14" spans="1:23" ht="15" thickBot="1" x14ac:dyDescent="0.35">
      <c r="A14" s="177" t="s">
        <v>13</v>
      </c>
      <c r="B14" s="68">
        <f>CONVERT(B8,"kn","m/sec")/SQRT(9.81*B2)</f>
        <v>0.29564904670492881</v>
      </c>
      <c r="C14" s="178"/>
      <c r="D14"/>
      <c r="T14"/>
      <c r="W14"/>
    </row>
    <row r="15" spans="1:23" x14ac:dyDescent="0.3">
      <c r="A15"/>
      <c r="B15"/>
      <c r="D15"/>
      <c r="T15"/>
      <c r="W15"/>
    </row>
    <row r="16" spans="1:23" ht="15" thickBot="1" x14ac:dyDescent="0.35">
      <c r="A16" s="90"/>
      <c r="B16"/>
      <c r="D16"/>
      <c r="T16"/>
      <c r="W16"/>
    </row>
    <row r="17" spans="1:26" x14ac:dyDescent="0.3">
      <c r="A17" s="249" t="s">
        <v>338</v>
      </c>
      <c r="B17" s="250"/>
      <c r="C17" s="251"/>
      <c r="D17"/>
      <c r="T17"/>
      <c r="W17"/>
    </row>
    <row r="18" spans="1:26" ht="15" thickBot="1" x14ac:dyDescent="0.35">
      <c r="A18" s="252"/>
      <c r="B18" s="253"/>
      <c r="C18" s="254"/>
      <c r="D18"/>
      <c r="T18"/>
      <c r="W18"/>
    </row>
    <row r="19" spans="1:26" x14ac:dyDescent="0.3">
      <c r="A19"/>
      <c r="B19"/>
      <c r="D19"/>
      <c r="T19"/>
      <c r="W19"/>
    </row>
    <row r="20" spans="1:26" x14ac:dyDescent="0.3">
      <c r="A20"/>
      <c r="B20"/>
      <c r="D20"/>
      <c r="T20"/>
      <c r="W20"/>
    </row>
    <row r="21" spans="1:26" x14ac:dyDescent="0.3">
      <c r="A21"/>
      <c r="B21"/>
      <c r="D21"/>
      <c r="T21"/>
      <c r="W21"/>
    </row>
    <row r="22" spans="1:26" ht="15" thickBot="1" x14ac:dyDescent="0.35">
      <c r="A22"/>
      <c r="B22"/>
      <c r="D22"/>
      <c r="T22"/>
      <c r="W22"/>
    </row>
    <row r="23" spans="1:26" ht="15" customHeight="1" x14ac:dyDescent="0.3">
      <c r="A23" s="87"/>
      <c r="B23" s="239" t="s">
        <v>17</v>
      </c>
      <c r="C23" s="239"/>
      <c r="D23" s="239"/>
      <c r="E23" s="239"/>
      <c r="F23" s="240"/>
      <c r="G23" s="86"/>
      <c r="H23" s="85"/>
      <c r="J23" s="87"/>
      <c r="K23" s="86"/>
      <c r="L23" s="232" t="s">
        <v>18</v>
      </c>
      <c r="M23" s="233"/>
      <c r="N23" s="233"/>
      <c r="O23" s="234"/>
      <c r="P23" s="86"/>
      <c r="Q23" s="85"/>
      <c r="S23" s="87"/>
      <c r="T23" s="86"/>
      <c r="U23" s="232" t="s">
        <v>19</v>
      </c>
      <c r="V23" s="233"/>
      <c r="W23" s="233"/>
      <c r="X23" s="234"/>
      <c r="Y23" s="86"/>
    </row>
    <row r="24" spans="1:26" ht="15.75" customHeight="1" thickBot="1" x14ac:dyDescent="0.35">
      <c r="A24" s="84"/>
      <c r="B24" s="283"/>
      <c r="C24" s="283"/>
      <c r="D24" s="283"/>
      <c r="E24" s="283"/>
      <c r="F24" s="284"/>
      <c r="G24" s="46"/>
      <c r="H24" s="83"/>
      <c r="J24" s="84"/>
      <c r="K24" s="46"/>
      <c r="L24" s="235"/>
      <c r="M24" s="236"/>
      <c r="N24" s="236"/>
      <c r="O24" s="237"/>
      <c r="P24" s="46"/>
      <c r="Q24" s="83"/>
      <c r="S24" s="84"/>
      <c r="T24" s="46"/>
      <c r="U24" s="235"/>
      <c r="V24" s="236"/>
      <c r="W24" s="236"/>
      <c r="X24" s="237"/>
      <c r="Y24" s="46"/>
    </row>
    <row r="25" spans="1:26" x14ac:dyDescent="0.3">
      <c r="A25" s="84"/>
      <c r="B25" s="46"/>
      <c r="C25" s="46"/>
      <c r="D25" s="46"/>
      <c r="E25" s="46"/>
      <c r="F25" s="46"/>
      <c r="G25" s="46"/>
      <c r="H25" s="83"/>
      <c r="J25" s="84"/>
      <c r="K25" s="46"/>
      <c r="L25" s="46"/>
      <c r="M25" s="46"/>
      <c r="N25" s="46"/>
      <c r="O25" s="46"/>
      <c r="P25" s="46"/>
      <c r="Q25" s="83"/>
      <c r="S25" s="84"/>
      <c r="T25" s="46"/>
      <c r="U25" s="46"/>
      <c r="V25" s="46"/>
      <c r="W25" s="46"/>
      <c r="X25" s="46"/>
      <c r="Y25" s="46"/>
    </row>
    <row r="26" spans="1:26" x14ac:dyDescent="0.3">
      <c r="A26" s="84"/>
      <c r="B26" s="46"/>
      <c r="C26" s="46"/>
      <c r="D26" s="46"/>
      <c r="E26" s="46"/>
      <c r="F26" s="46"/>
      <c r="G26" s="46"/>
      <c r="H26" s="83"/>
      <c r="J26" s="84"/>
      <c r="K26" s="46"/>
      <c r="L26" s="46"/>
      <c r="M26" s="46"/>
      <c r="N26" s="46"/>
      <c r="O26" s="46"/>
      <c r="P26" s="46"/>
      <c r="Q26" s="83"/>
      <c r="S26" s="84"/>
      <c r="T26" s="46"/>
      <c r="U26" s="46"/>
      <c r="V26" s="46"/>
      <c r="W26" s="46"/>
      <c r="X26" s="46"/>
      <c r="Y26" s="46"/>
    </row>
    <row r="27" spans="1:26" x14ac:dyDescent="0.3">
      <c r="A27" s="84"/>
      <c r="B27" s="46"/>
      <c r="C27" s="46"/>
      <c r="D27" s="46"/>
      <c r="E27" s="46"/>
      <c r="F27" s="46"/>
      <c r="G27" s="46"/>
      <c r="H27" s="83"/>
      <c r="J27" s="84"/>
      <c r="K27" s="46"/>
      <c r="L27" s="46"/>
      <c r="M27" s="46"/>
      <c r="N27" s="46"/>
      <c r="O27" s="46"/>
      <c r="P27" s="46"/>
      <c r="Q27" s="83"/>
      <c r="S27" s="84"/>
      <c r="T27" s="46"/>
      <c r="U27" s="46"/>
      <c r="V27" s="46"/>
      <c r="W27" s="46"/>
      <c r="X27" s="46"/>
      <c r="Y27" s="46"/>
      <c r="Z27" s="83"/>
    </row>
    <row r="28" spans="1:26" x14ac:dyDescent="0.3">
      <c r="A28" s="84"/>
      <c r="B28" s="46"/>
      <c r="C28" s="46"/>
      <c r="D28" s="46"/>
      <c r="E28" s="46"/>
      <c r="F28" s="46"/>
      <c r="G28" s="46"/>
      <c r="H28" s="83"/>
      <c r="J28" s="84"/>
      <c r="K28" s="46"/>
      <c r="L28" s="46"/>
      <c r="M28" s="46"/>
      <c r="N28" s="46"/>
      <c r="O28" s="46"/>
      <c r="P28" s="46"/>
      <c r="Q28" s="83"/>
      <c r="S28" s="84"/>
      <c r="T28" s="46"/>
      <c r="U28" s="46"/>
      <c r="V28" s="46"/>
      <c r="W28" s="46"/>
      <c r="X28" s="46"/>
      <c r="Y28" s="46"/>
      <c r="Z28" s="83"/>
    </row>
    <row r="29" spans="1:26" x14ac:dyDescent="0.3">
      <c r="A29" s="84"/>
      <c r="B29" s="46"/>
      <c r="C29" s="46"/>
      <c r="D29" s="46"/>
      <c r="E29" s="46"/>
      <c r="F29" s="46"/>
      <c r="G29" s="46"/>
      <c r="H29" s="83"/>
      <c r="J29" s="84"/>
      <c r="K29" s="46"/>
      <c r="L29" s="46"/>
      <c r="M29" s="46"/>
      <c r="N29" s="46"/>
      <c r="O29" s="46"/>
      <c r="P29" s="46"/>
      <c r="Q29" s="83"/>
      <c r="S29" s="84"/>
      <c r="T29" s="46"/>
      <c r="U29" s="46"/>
      <c r="V29" s="46"/>
      <c r="W29" s="46"/>
      <c r="X29" s="46"/>
      <c r="Y29" s="46"/>
      <c r="Z29" s="83"/>
    </row>
    <row r="30" spans="1:26" x14ac:dyDescent="0.3">
      <c r="A30" s="84"/>
      <c r="B30" s="46"/>
      <c r="C30" s="46"/>
      <c r="D30" s="46"/>
      <c r="E30" s="46"/>
      <c r="F30" s="46"/>
      <c r="G30" s="46"/>
      <c r="H30" s="83"/>
      <c r="J30" s="84"/>
      <c r="K30" s="46"/>
      <c r="L30" s="46"/>
      <c r="M30" s="46"/>
      <c r="N30" s="46"/>
      <c r="O30" s="46"/>
      <c r="P30" s="46"/>
      <c r="Q30" s="83"/>
      <c r="S30" s="84"/>
      <c r="T30" s="46"/>
      <c r="U30" s="46"/>
      <c r="V30" s="46"/>
      <c r="W30" s="46"/>
      <c r="X30" s="46"/>
      <c r="Y30" s="46"/>
      <c r="Z30" s="83"/>
    </row>
    <row r="31" spans="1:26" x14ac:dyDescent="0.3">
      <c r="A31" s="84"/>
      <c r="B31" s="46"/>
      <c r="C31" s="46"/>
      <c r="D31" s="46"/>
      <c r="E31" s="46"/>
      <c r="F31" s="46"/>
      <c r="G31" s="46"/>
      <c r="H31" s="83"/>
      <c r="J31" s="84"/>
      <c r="K31" s="46"/>
      <c r="L31" s="46"/>
      <c r="M31" s="46"/>
      <c r="N31" s="46"/>
      <c r="O31" s="46"/>
      <c r="P31" s="46"/>
      <c r="Q31" s="83"/>
      <c r="S31" s="84"/>
      <c r="T31" s="46"/>
      <c r="U31" s="46"/>
      <c r="V31" s="46"/>
      <c r="W31" s="46"/>
      <c r="X31" s="46"/>
      <c r="Y31" s="46"/>
      <c r="Z31" s="83"/>
    </row>
    <row r="32" spans="1:26" x14ac:dyDescent="0.3">
      <c r="A32" s="84"/>
      <c r="B32" s="46"/>
      <c r="C32" s="46"/>
      <c r="D32" s="46"/>
      <c r="E32" s="46"/>
      <c r="F32" s="46"/>
      <c r="G32" s="46"/>
      <c r="H32" s="83"/>
      <c r="J32" s="84"/>
      <c r="K32" s="46"/>
      <c r="L32" s="46"/>
      <c r="M32" s="46"/>
      <c r="N32" s="46"/>
      <c r="O32" s="46"/>
      <c r="P32" s="46"/>
      <c r="Q32" s="83"/>
      <c r="S32" s="84"/>
      <c r="T32" s="46"/>
      <c r="U32" s="46"/>
      <c r="V32" s="46"/>
      <c r="W32" s="46"/>
      <c r="X32" s="46"/>
      <c r="Y32" s="46"/>
      <c r="Z32" s="83"/>
    </row>
    <row r="33" spans="1:26" x14ac:dyDescent="0.3">
      <c r="A33" s="84"/>
      <c r="B33" s="46"/>
      <c r="C33" s="46"/>
      <c r="D33" s="46"/>
      <c r="E33" s="46"/>
      <c r="F33" s="46"/>
      <c r="G33" s="46"/>
      <c r="H33" s="83"/>
      <c r="J33" s="84"/>
      <c r="K33" s="46"/>
      <c r="L33" s="46"/>
      <c r="M33" s="46"/>
      <c r="N33" s="46"/>
      <c r="O33" s="46"/>
      <c r="P33" s="46"/>
      <c r="Q33" s="83"/>
      <c r="S33" s="84"/>
      <c r="T33" s="46"/>
      <c r="U33" s="46"/>
      <c r="V33" s="46"/>
      <c r="W33" s="46"/>
      <c r="X33" s="46"/>
      <c r="Y33" s="46"/>
      <c r="Z33" s="83"/>
    </row>
    <row r="34" spans="1:26" x14ac:dyDescent="0.3">
      <c r="A34" s="84"/>
      <c r="B34" s="46"/>
      <c r="C34" s="46"/>
      <c r="D34" s="46"/>
      <c r="E34" s="46"/>
      <c r="F34" s="46"/>
      <c r="G34" s="46"/>
      <c r="H34" s="83"/>
      <c r="J34" s="84"/>
      <c r="K34" s="46"/>
      <c r="L34" s="46"/>
      <c r="M34" s="46"/>
      <c r="N34" s="46"/>
      <c r="O34" s="46"/>
      <c r="P34" s="46"/>
      <c r="Q34" s="83"/>
      <c r="S34" s="84"/>
      <c r="T34" s="46"/>
      <c r="U34" s="46"/>
      <c r="V34" s="46"/>
      <c r="W34" s="46"/>
      <c r="X34" s="46"/>
      <c r="Y34" s="46"/>
      <c r="Z34" s="83"/>
    </row>
    <row r="35" spans="1:26" x14ac:dyDescent="0.3">
      <c r="A35" s="84"/>
      <c r="B35" s="46"/>
      <c r="C35" s="46"/>
      <c r="D35" s="46"/>
      <c r="E35" s="46"/>
      <c r="F35" s="46"/>
      <c r="G35" s="46"/>
      <c r="H35" s="83"/>
      <c r="J35" s="84"/>
      <c r="K35" s="46"/>
      <c r="L35" s="46"/>
      <c r="M35" s="46"/>
      <c r="N35" s="46"/>
      <c r="O35" s="46"/>
      <c r="P35" s="46"/>
      <c r="Q35" s="83"/>
      <c r="S35" s="84"/>
      <c r="T35" s="46"/>
      <c r="U35" s="46"/>
      <c r="V35" s="46"/>
      <c r="W35" s="46"/>
      <c r="X35" s="46"/>
      <c r="Y35" s="46"/>
      <c r="Z35" s="83"/>
    </row>
    <row r="36" spans="1:26" x14ac:dyDescent="0.3">
      <c r="A36" s="84"/>
      <c r="B36" s="46"/>
      <c r="C36" s="46"/>
      <c r="D36" s="46"/>
      <c r="E36" s="46"/>
      <c r="F36" s="46"/>
      <c r="G36" s="46"/>
      <c r="H36" s="83"/>
      <c r="J36" s="84"/>
      <c r="K36" s="46"/>
      <c r="L36" s="46"/>
      <c r="M36" s="46"/>
      <c r="N36" s="46"/>
      <c r="O36" s="46"/>
      <c r="P36" s="46"/>
      <c r="Q36" s="83"/>
      <c r="S36" s="84"/>
      <c r="T36" s="46"/>
      <c r="U36" s="46"/>
      <c r="V36" s="46"/>
      <c r="W36" s="46"/>
      <c r="X36" s="46"/>
      <c r="Y36" s="46"/>
      <c r="Z36" s="83"/>
    </row>
    <row r="37" spans="1:26" x14ac:dyDescent="0.3">
      <c r="A37" s="84"/>
      <c r="B37" s="46"/>
      <c r="C37" s="46"/>
      <c r="D37" s="46"/>
      <c r="E37" s="46"/>
      <c r="F37" s="46"/>
      <c r="G37" s="46"/>
      <c r="H37" s="83"/>
      <c r="J37" s="84"/>
      <c r="K37" s="46"/>
      <c r="L37" s="46"/>
      <c r="M37" s="46"/>
      <c r="N37" s="46"/>
      <c r="O37" s="46"/>
      <c r="P37" s="46"/>
      <c r="Q37" s="83"/>
      <c r="S37" s="84"/>
      <c r="T37" s="46"/>
      <c r="U37" s="46"/>
      <c r="V37" s="46"/>
      <c r="W37" s="46"/>
      <c r="X37" s="46"/>
      <c r="Y37" s="46"/>
      <c r="Z37" s="83"/>
    </row>
    <row r="38" spans="1:26" x14ac:dyDescent="0.3">
      <c r="A38" s="84"/>
      <c r="B38" s="46"/>
      <c r="C38" s="46"/>
      <c r="D38" s="46"/>
      <c r="E38" s="46"/>
      <c r="F38" s="46"/>
      <c r="G38" s="46"/>
      <c r="H38" s="83"/>
      <c r="J38" s="84"/>
      <c r="K38" s="46"/>
      <c r="L38" s="46"/>
      <c r="M38" s="46"/>
      <c r="N38" s="46"/>
      <c r="O38" s="46"/>
      <c r="P38" s="46"/>
      <c r="Q38" s="83"/>
      <c r="S38" s="84"/>
      <c r="T38" s="46"/>
      <c r="U38" s="46"/>
      <c r="V38" s="46"/>
      <c r="W38" s="46"/>
      <c r="X38" s="46"/>
      <c r="Y38" s="46"/>
      <c r="Z38" s="83"/>
    </row>
    <row r="39" spans="1:26" x14ac:dyDescent="0.3">
      <c r="A39" s="84"/>
      <c r="B39" s="46"/>
      <c r="C39" s="46"/>
      <c r="D39" s="46"/>
      <c r="E39" s="46"/>
      <c r="F39" s="46"/>
      <c r="G39" s="46"/>
      <c r="H39" s="83"/>
      <c r="J39" s="84"/>
      <c r="K39" s="46"/>
      <c r="L39" s="46"/>
      <c r="M39" s="46"/>
      <c r="N39" s="46"/>
      <c r="O39" s="46"/>
      <c r="P39" s="46"/>
      <c r="Q39" s="83"/>
      <c r="S39" s="84"/>
      <c r="T39" s="46"/>
      <c r="U39" s="46"/>
      <c r="V39" s="46"/>
      <c r="W39" s="46"/>
      <c r="X39" s="46"/>
      <c r="Y39" s="46"/>
      <c r="Z39" s="83"/>
    </row>
    <row r="40" spans="1:26" ht="15" thickBot="1" x14ac:dyDescent="0.35">
      <c r="A40" s="82"/>
      <c r="B40" s="81"/>
      <c r="C40" s="81"/>
      <c r="D40" s="81"/>
      <c r="E40" s="81"/>
      <c r="F40" s="81"/>
      <c r="G40" s="81"/>
      <c r="H40" s="80"/>
      <c r="J40" s="82"/>
      <c r="K40" s="81"/>
      <c r="L40" s="81"/>
      <c r="M40" s="81"/>
      <c r="N40" s="81"/>
      <c r="O40" s="81"/>
      <c r="P40" s="81"/>
      <c r="Q40" s="80"/>
      <c r="S40" s="82"/>
      <c r="T40" s="81"/>
      <c r="U40" s="81"/>
      <c r="V40" s="81"/>
      <c r="W40" s="81"/>
      <c r="X40" s="81"/>
      <c r="Y40" s="81"/>
      <c r="Z40" s="80"/>
    </row>
    <row r="41" spans="1:26" x14ac:dyDescent="0.3">
      <c r="A41"/>
      <c r="B41"/>
      <c r="D41"/>
      <c r="T41"/>
      <c r="W41"/>
    </row>
    <row r="42" spans="1:26" ht="15" thickBot="1" x14ac:dyDescent="0.35">
      <c r="A42"/>
      <c r="B42"/>
      <c r="D42"/>
      <c r="J42" s="88"/>
      <c r="K42" s="88"/>
      <c r="L42" s="88"/>
      <c r="M42" s="88"/>
      <c r="N42" s="88"/>
      <c r="O42" s="88"/>
      <c r="P42" s="88"/>
      <c r="Q42" s="88"/>
      <c r="R42" s="46"/>
      <c r="T42"/>
      <c r="W42"/>
    </row>
    <row r="43" spans="1:26" ht="15" customHeight="1" x14ac:dyDescent="0.3">
      <c r="A43" s="87"/>
      <c r="B43" s="276" t="s">
        <v>20</v>
      </c>
      <c r="C43" s="276"/>
      <c r="D43" s="276"/>
      <c r="E43" s="276"/>
      <c r="F43" s="86"/>
      <c r="G43" s="86"/>
      <c r="H43" s="85"/>
      <c r="J43" s="88"/>
      <c r="K43" s="88"/>
      <c r="L43" s="285"/>
      <c r="M43" s="285"/>
      <c r="N43" s="285"/>
      <c r="O43" s="285"/>
      <c r="P43" s="88"/>
      <c r="Q43" s="88"/>
      <c r="R43" s="46"/>
      <c r="S43" s="88"/>
      <c r="T43" s="88"/>
      <c r="U43" s="263"/>
      <c r="V43" s="263"/>
      <c r="W43" s="263"/>
      <c r="X43" s="263"/>
      <c r="Y43" s="263"/>
      <c r="Z43" s="88"/>
    </row>
    <row r="44" spans="1:26" ht="15.75" customHeight="1" x14ac:dyDescent="0.3">
      <c r="A44" s="84"/>
      <c r="B44" s="277"/>
      <c r="C44" s="277"/>
      <c r="D44" s="277"/>
      <c r="E44" s="277"/>
      <c r="F44" s="46"/>
      <c r="G44" s="46"/>
      <c r="H44" s="83"/>
      <c r="J44" s="88"/>
      <c r="K44" s="88"/>
      <c r="L44" s="285"/>
      <c r="M44" s="285"/>
      <c r="N44" s="285"/>
      <c r="O44" s="285"/>
      <c r="P44" s="88"/>
      <c r="Q44" s="88"/>
      <c r="R44" s="46"/>
      <c r="S44" s="88"/>
      <c r="T44" s="88"/>
      <c r="U44" s="263"/>
      <c r="V44" s="263"/>
      <c r="W44" s="263"/>
      <c r="X44" s="263"/>
      <c r="Y44" s="263"/>
      <c r="Z44" s="88"/>
    </row>
    <row r="45" spans="1:26" x14ac:dyDescent="0.3">
      <c r="A45" s="84"/>
      <c r="B45" s="46"/>
      <c r="C45" s="46"/>
      <c r="D45" s="46"/>
      <c r="E45" s="46"/>
      <c r="F45" s="46"/>
      <c r="G45" s="46"/>
      <c r="H45" s="83"/>
      <c r="J45" s="88"/>
      <c r="K45" s="88"/>
      <c r="L45" s="88"/>
      <c r="M45" s="88"/>
      <c r="N45" s="88"/>
      <c r="O45" s="88"/>
      <c r="P45" s="88"/>
      <c r="Q45" s="88"/>
      <c r="R45" s="46"/>
      <c r="S45" s="88"/>
      <c r="T45" s="88"/>
      <c r="U45" s="88"/>
      <c r="V45" s="88"/>
      <c r="W45" s="88"/>
      <c r="X45" s="88"/>
      <c r="Y45" s="88"/>
      <c r="Z45" s="88"/>
    </row>
    <row r="46" spans="1:26" x14ac:dyDescent="0.3">
      <c r="A46" s="84"/>
      <c r="B46" s="46"/>
      <c r="C46" s="46"/>
      <c r="D46" s="46"/>
      <c r="E46" s="46"/>
      <c r="F46" s="46"/>
      <c r="G46" s="46"/>
      <c r="H46" s="83"/>
      <c r="J46" s="88"/>
      <c r="K46" s="88"/>
      <c r="L46" s="88"/>
      <c r="M46" s="88"/>
      <c r="N46" s="88"/>
      <c r="O46" s="88"/>
      <c r="P46" s="88"/>
      <c r="Q46" s="88"/>
      <c r="R46" s="46"/>
      <c r="S46" s="88"/>
      <c r="T46" s="88"/>
      <c r="U46" s="88"/>
      <c r="V46" s="88"/>
      <c r="W46" s="88"/>
      <c r="X46" s="88"/>
      <c r="Y46" s="88"/>
      <c r="Z46" s="88"/>
    </row>
    <row r="47" spans="1:26" x14ac:dyDescent="0.3">
      <c r="A47" s="84"/>
      <c r="B47" s="46"/>
      <c r="C47" s="46"/>
      <c r="D47" s="46"/>
      <c r="E47" s="46"/>
      <c r="F47" s="46"/>
      <c r="G47" s="46"/>
      <c r="H47" s="83"/>
      <c r="J47" s="88"/>
      <c r="K47" s="88"/>
      <c r="L47" s="88"/>
      <c r="M47" s="88"/>
      <c r="N47" s="88"/>
      <c r="O47" s="88"/>
      <c r="P47" s="88"/>
      <c r="Q47" s="88"/>
      <c r="R47" s="46"/>
      <c r="S47" s="88"/>
      <c r="T47" s="88"/>
      <c r="U47" s="88"/>
      <c r="V47" s="88"/>
      <c r="W47" s="88"/>
      <c r="X47" s="88"/>
      <c r="Y47" s="88"/>
      <c r="Z47" s="88"/>
    </row>
    <row r="48" spans="1:26" x14ac:dyDescent="0.3">
      <c r="A48" s="84"/>
      <c r="B48" s="46"/>
      <c r="C48" s="46"/>
      <c r="D48" s="46"/>
      <c r="E48" s="46"/>
      <c r="F48" s="46"/>
      <c r="G48" s="46"/>
      <c r="H48" s="83"/>
      <c r="J48" s="88"/>
      <c r="K48" s="88"/>
      <c r="L48" s="88"/>
      <c r="M48" s="88"/>
      <c r="N48" s="88"/>
      <c r="O48" s="88"/>
      <c r="P48" s="88"/>
      <c r="Q48" s="88"/>
      <c r="R48" s="46"/>
      <c r="S48" s="88"/>
      <c r="T48" s="88"/>
      <c r="U48" s="88"/>
      <c r="V48" s="88"/>
      <c r="W48" s="88"/>
      <c r="X48" s="88"/>
      <c r="Y48" s="88"/>
      <c r="Z48" s="88"/>
    </row>
    <row r="49" spans="1:28" x14ac:dyDescent="0.3">
      <c r="A49" s="84"/>
      <c r="B49" s="46"/>
      <c r="C49" s="46"/>
      <c r="D49" s="46"/>
      <c r="E49" s="46"/>
      <c r="F49" s="46"/>
      <c r="G49" s="46"/>
      <c r="H49" s="83"/>
      <c r="J49" s="88"/>
      <c r="K49" s="88"/>
      <c r="L49" s="88"/>
      <c r="M49" s="88"/>
      <c r="N49" s="88"/>
      <c r="O49" s="88"/>
      <c r="P49" s="88"/>
      <c r="Q49" s="88"/>
      <c r="R49" s="46"/>
      <c r="S49" s="88"/>
      <c r="T49" s="88"/>
      <c r="U49" s="88"/>
      <c r="V49" s="88"/>
      <c r="W49" s="88"/>
      <c r="X49" s="88"/>
      <c r="Y49" s="88"/>
      <c r="Z49" s="88"/>
    </row>
    <row r="50" spans="1:28" x14ac:dyDescent="0.3">
      <c r="A50" s="84"/>
      <c r="B50" s="46"/>
      <c r="C50" s="46"/>
      <c r="D50" s="46"/>
      <c r="E50" s="46"/>
      <c r="F50" s="46"/>
      <c r="G50" s="46"/>
      <c r="H50" s="83"/>
      <c r="J50" s="88"/>
      <c r="K50" s="88"/>
      <c r="L50" s="88"/>
      <c r="M50" s="88"/>
      <c r="N50" s="88"/>
      <c r="O50" s="88"/>
      <c r="P50" s="88"/>
      <c r="Q50" s="88"/>
      <c r="R50" s="46"/>
      <c r="S50" s="88"/>
      <c r="T50" s="88"/>
      <c r="U50" s="88"/>
      <c r="V50" s="88"/>
      <c r="W50" s="88"/>
      <c r="X50" s="88"/>
      <c r="Y50" s="88"/>
      <c r="Z50" s="88"/>
    </row>
    <row r="51" spans="1:28" x14ac:dyDescent="0.3">
      <c r="A51" s="84"/>
      <c r="B51" s="46"/>
      <c r="C51" s="46"/>
      <c r="D51" s="46"/>
      <c r="E51" s="46"/>
      <c r="F51" s="46"/>
      <c r="G51" s="46"/>
      <c r="H51" s="83"/>
      <c r="J51" s="88"/>
      <c r="K51" s="88"/>
      <c r="L51" s="88"/>
      <c r="M51" s="88"/>
      <c r="N51" s="88"/>
      <c r="O51" s="88"/>
      <c r="P51" s="88"/>
      <c r="Q51" s="88"/>
      <c r="R51" s="46"/>
      <c r="S51" s="88"/>
      <c r="T51" s="88"/>
      <c r="U51" s="88"/>
      <c r="V51" s="88"/>
      <c r="W51" s="88"/>
      <c r="X51" s="88"/>
      <c r="Y51" s="88"/>
      <c r="Z51" s="88"/>
    </row>
    <row r="52" spans="1:28" x14ac:dyDescent="0.3">
      <c r="A52" s="84"/>
      <c r="B52" s="46"/>
      <c r="C52" s="46"/>
      <c r="D52" s="46"/>
      <c r="E52" s="46"/>
      <c r="F52" s="46"/>
      <c r="G52" s="46"/>
      <c r="H52" s="83"/>
      <c r="J52" s="88"/>
      <c r="K52" s="88"/>
      <c r="L52" s="88"/>
      <c r="M52" s="88"/>
      <c r="N52" s="88"/>
      <c r="O52" s="88"/>
      <c r="P52" s="88"/>
      <c r="Q52" s="88"/>
      <c r="R52" s="46"/>
      <c r="S52" s="88"/>
      <c r="T52" s="88"/>
      <c r="U52" s="88"/>
      <c r="V52" s="88"/>
      <c r="W52" s="88"/>
      <c r="X52" s="88"/>
      <c r="Y52" s="88"/>
      <c r="Z52" s="88"/>
    </row>
    <row r="53" spans="1:28" x14ac:dyDescent="0.3">
      <c r="A53" s="84"/>
      <c r="B53" s="46"/>
      <c r="C53" s="46"/>
      <c r="D53" s="46"/>
      <c r="E53" s="46"/>
      <c r="F53" s="46"/>
      <c r="G53" s="46"/>
      <c r="H53" s="83"/>
      <c r="J53" s="88"/>
      <c r="K53" s="88"/>
      <c r="L53" s="88"/>
      <c r="M53" s="88"/>
      <c r="N53" s="88"/>
      <c r="O53" s="88"/>
      <c r="P53" s="88"/>
      <c r="Q53" s="88"/>
      <c r="R53" s="46"/>
      <c r="S53" s="88"/>
      <c r="T53" s="88"/>
      <c r="U53" s="88"/>
      <c r="V53" s="88"/>
      <c r="W53" s="88"/>
      <c r="X53" s="88"/>
      <c r="Y53" s="88"/>
      <c r="Z53" s="88"/>
    </row>
    <row r="54" spans="1:28" x14ac:dyDescent="0.3">
      <c r="A54" s="84"/>
      <c r="B54" s="46"/>
      <c r="C54" s="46"/>
      <c r="D54" s="46"/>
      <c r="E54" s="46"/>
      <c r="F54" s="46"/>
      <c r="G54" s="46"/>
      <c r="H54" s="83"/>
      <c r="J54" s="88"/>
      <c r="K54" s="88"/>
      <c r="L54" s="88"/>
      <c r="M54" s="88"/>
      <c r="N54" s="88"/>
      <c r="O54" s="88"/>
      <c r="P54" s="88"/>
      <c r="Q54" s="88"/>
      <c r="R54" s="46"/>
      <c r="S54" s="88"/>
      <c r="T54" s="88"/>
      <c r="U54" s="88"/>
      <c r="V54" s="88"/>
      <c r="W54" s="88"/>
      <c r="X54" s="88"/>
      <c r="Y54" s="88"/>
      <c r="Z54" s="88"/>
    </row>
    <row r="55" spans="1:28" x14ac:dyDescent="0.3">
      <c r="A55" s="84"/>
      <c r="B55" s="46"/>
      <c r="C55" s="46"/>
      <c r="D55" s="46"/>
      <c r="E55" s="46"/>
      <c r="F55" s="46"/>
      <c r="G55" s="46"/>
      <c r="H55" s="83"/>
      <c r="J55" s="88"/>
      <c r="K55" s="88"/>
      <c r="L55" s="88"/>
      <c r="M55" s="88"/>
      <c r="N55" s="88"/>
      <c r="O55" s="88"/>
      <c r="P55" s="88"/>
      <c r="Q55" s="88"/>
      <c r="R55" s="46"/>
      <c r="S55" s="88"/>
      <c r="T55" s="88"/>
      <c r="U55" s="88"/>
      <c r="V55" s="88"/>
      <c r="W55" s="88"/>
      <c r="X55" s="88"/>
      <c r="Y55" s="88"/>
      <c r="Z55" s="88"/>
    </row>
    <row r="56" spans="1:28" x14ac:dyDescent="0.3">
      <c r="A56" s="84"/>
      <c r="B56" s="46"/>
      <c r="C56" s="46"/>
      <c r="D56" s="46"/>
      <c r="E56" s="46"/>
      <c r="F56" s="46"/>
      <c r="G56" s="46"/>
      <c r="H56" s="83"/>
      <c r="J56" s="88"/>
      <c r="K56" s="88"/>
      <c r="L56" s="88"/>
      <c r="M56" s="88"/>
      <c r="N56" s="88"/>
      <c r="O56" s="88"/>
      <c r="P56" s="88"/>
      <c r="Q56" s="88"/>
      <c r="R56" s="46"/>
      <c r="S56" s="88"/>
      <c r="T56" s="88"/>
      <c r="U56" s="88"/>
      <c r="V56" s="88"/>
      <c r="W56" s="88"/>
      <c r="X56" s="88"/>
      <c r="Y56" s="88"/>
      <c r="Z56" s="88"/>
    </row>
    <row r="57" spans="1:28" x14ac:dyDescent="0.3">
      <c r="A57" s="84"/>
      <c r="B57" s="46"/>
      <c r="C57" s="46"/>
      <c r="D57" s="46"/>
      <c r="E57" s="46"/>
      <c r="F57" s="46"/>
      <c r="G57" s="46"/>
      <c r="H57" s="83"/>
      <c r="J57" s="88"/>
      <c r="K57" s="88"/>
      <c r="L57" s="88"/>
      <c r="M57" s="88"/>
      <c r="N57" s="88"/>
      <c r="O57" s="88"/>
      <c r="P57" s="88"/>
      <c r="Q57" s="88"/>
      <c r="R57" s="46"/>
      <c r="S57" s="88"/>
      <c r="T57" s="88"/>
      <c r="U57" s="88"/>
      <c r="V57" s="88"/>
      <c r="W57" s="88"/>
      <c r="X57" s="88"/>
      <c r="Y57" s="88"/>
      <c r="Z57" s="88"/>
    </row>
    <row r="58" spans="1:28" x14ac:dyDescent="0.3">
      <c r="A58" s="84"/>
      <c r="B58" s="46"/>
      <c r="C58" s="46"/>
      <c r="D58" s="46"/>
      <c r="E58" s="46"/>
      <c r="F58" s="46"/>
      <c r="G58" s="46"/>
      <c r="H58" s="83"/>
      <c r="J58" s="88"/>
      <c r="K58" s="88"/>
      <c r="L58" s="88"/>
      <c r="M58" s="88"/>
      <c r="N58" s="88"/>
      <c r="O58" s="88"/>
      <c r="P58" s="88"/>
      <c r="Q58" s="88"/>
      <c r="R58" s="46"/>
      <c r="S58" s="88"/>
      <c r="T58" s="88"/>
      <c r="U58" s="88"/>
      <c r="V58" s="88"/>
      <c r="W58" s="88"/>
      <c r="X58" s="88"/>
      <c r="Y58" s="88"/>
      <c r="Z58" s="88"/>
    </row>
    <row r="59" spans="1:28" x14ac:dyDescent="0.3">
      <c r="A59" s="84"/>
      <c r="B59" s="46"/>
      <c r="C59" s="46"/>
      <c r="D59" s="46"/>
      <c r="E59" s="46"/>
      <c r="F59" s="46"/>
      <c r="G59" s="46"/>
      <c r="H59" s="83"/>
      <c r="J59" s="88"/>
      <c r="K59" s="88"/>
      <c r="L59" s="88"/>
      <c r="M59" s="88"/>
      <c r="N59" s="88"/>
      <c r="O59" s="88"/>
      <c r="P59" s="88"/>
      <c r="Q59" s="88"/>
      <c r="R59" s="46"/>
      <c r="S59" s="88"/>
      <c r="T59" s="88"/>
      <c r="U59" s="88"/>
      <c r="V59" s="88"/>
      <c r="W59" s="88"/>
      <c r="X59" s="88"/>
      <c r="Y59" s="88"/>
      <c r="Z59" s="88"/>
    </row>
    <row r="60" spans="1:28" ht="15" thickBot="1" x14ac:dyDescent="0.35">
      <c r="A60" s="82"/>
      <c r="B60" s="81"/>
      <c r="C60" s="81"/>
      <c r="D60" s="81"/>
      <c r="E60" s="81"/>
      <c r="F60" s="81"/>
      <c r="G60" s="81"/>
      <c r="H60" s="80"/>
      <c r="J60" s="88"/>
      <c r="K60" s="88"/>
      <c r="L60" s="88"/>
      <c r="M60" s="88"/>
      <c r="N60" s="88"/>
      <c r="O60" s="88"/>
      <c r="P60" s="88"/>
      <c r="Q60" s="88"/>
      <c r="R60" s="46"/>
      <c r="S60" s="88"/>
      <c r="T60" s="88"/>
      <c r="U60" s="88"/>
      <c r="V60" s="88"/>
      <c r="W60" s="88"/>
      <c r="X60" s="88"/>
      <c r="Y60" s="88"/>
      <c r="Z60" s="88"/>
    </row>
    <row r="61" spans="1:28" x14ac:dyDescent="0.3">
      <c r="A61"/>
      <c r="B61"/>
      <c r="D61"/>
      <c r="K61" s="3"/>
      <c r="S61" s="88"/>
      <c r="T61" s="88"/>
      <c r="U61" s="88"/>
      <c r="V61" s="88"/>
      <c r="W61" s="88"/>
      <c r="X61" s="88"/>
      <c r="Y61" s="88"/>
      <c r="Z61" s="88"/>
    </row>
    <row r="62" spans="1:28" ht="15" thickBot="1" x14ac:dyDescent="0.35">
      <c r="A62"/>
      <c r="B62"/>
      <c r="D62"/>
      <c r="S62" s="88"/>
      <c r="T62" s="88"/>
      <c r="U62" s="88"/>
      <c r="V62" s="88"/>
      <c r="W62" s="88"/>
      <c r="X62" s="88"/>
      <c r="Y62" s="88"/>
      <c r="Z62" s="88"/>
    </row>
    <row r="63" spans="1:28" ht="15" customHeight="1" x14ac:dyDescent="0.3">
      <c r="A63" s="87"/>
      <c r="B63" s="233" t="s">
        <v>23</v>
      </c>
      <c r="C63" s="233"/>
      <c r="D63" s="233"/>
      <c r="E63" s="234"/>
      <c r="F63" s="86"/>
      <c r="G63" s="86"/>
      <c r="H63" s="85"/>
      <c r="J63" s="87"/>
      <c r="K63" s="86"/>
      <c r="L63" s="233" t="s">
        <v>24</v>
      </c>
      <c r="M63" s="233"/>
      <c r="N63" s="233"/>
      <c r="O63" s="233"/>
      <c r="P63" s="86"/>
      <c r="Q63" s="85"/>
      <c r="S63" s="87"/>
      <c r="T63" s="86"/>
      <c r="U63" s="232" t="s">
        <v>571</v>
      </c>
      <c r="V63" s="233"/>
      <c r="W63" s="233"/>
      <c r="X63" s="234"/>
      <c r="Y63" s="86"/>
      <c r="Z63" s="85"/>
      <c r="AB63" s="167"/>
    </row>
    <row r="64" spans="1:28" ht="15.75" customHeight="1" thickBot="1" x14ac:dyDescent="0.35">
      <c r="A64" s="84"/>
      <c r="B64" s="278"/>
      <c r="C64" s="278"/>
      <c r="D64" s="278"/>
      <c r="E64" s="279"/>
      <c r="F64" s="46"/>
      <c r="G64" s="46"/>
      <c r="H64" s="83"/>
      <c r="J64" s="84"/>
      <c r="K64" s="46"/>
      <c r="L64" s="278"/>
      <c r="M64" s="278"/>
      <c r="N64" s="278"/>
      <c r="O64" s="278"/>
      <c r="P64" s="46"/>
      <c r="Q64" s="83"/>
      <c r="S64" s="84"/>
      <c r="T64" s="46"/>
      <c r="U64" s="235"/>
      <c r="V64" s="236"/>
      <c r="W64" s="236"/>
      <c r="X64" s="237"/>
      <c r="Y64" s="46"/>
      <c r="Z64" s="83"/>
    </row>
    <row r="65" spans="1:26" x14ac:dyDescent="0.3">
      <c r="A65" s="84"/>
      <c r="B65" s="46"/>
      <c r="C65" s="46"/>
      <c r="D65" s="46"/>
      <c r="E65" s="46"/>
      <c r="F65" s="46"/>
      <c r="G65" s="46"/>
      <c r="H65" s="83"/>
      <c r="J65" s="84"/>
      <c r="K65" s="46"/>
      <c r="L65" s="46"/>
      <c r="M65" s="46"/>
      <c r="N65" s="46"/>
      <c r="O65" s="46"/>
      <c r="P65" s="46"/>
      <c r="Q65" s="83"/>
      <c r="S65" s="84"/>
      <c r="T65" s="46"/>
      <c r="U65" s="46"/>
      <c r="V65" s="46"/>
      <c r="W65" s="46"/>
      <c r="X65" s="46"/>
      <c r="Y65" s="46"/>
      <c r="Z65" s="83"/>
    </row>
    <row r="66" spans="1:26" x14ac:dyDescent="0.3">
      <c r="A66" s="84"/>
      <c r="B66" s="46"/>
      <c r="C66" s="46"/>
      <c r="D66" s="46"/>
      <c r="E66" s="46"/>
      <c r="F66" s="46"/>
      <c r="G66" s="46"/>
      <c r="H66" s="83"/>
      <c r="J66" s="84"/>
      <c r="K66" s="46"/>
      <c r="L66" s="46"/>
      <c r="M66" s="46"/>
      <c r="N66" s="46"/>
      <c r="O66" s="46"/>
      <c r="P66" s="46"/>
      <c r="Q66" s="83"/>
      <c r="S66" s="84"/>
      <c r="T66" s="46"/>
      <c r="U66" s="46"/>
      <c r="V66" s="46"/>
      <c r="W66" s="46"/>
      <c r="X66" s="46"/>
      <c r="Y66" s="46"/>
      <c r="Z66" s="83"/>
    </row>
    <row r="67" spans="1:26" x14ac:dyDescent="0.3">
      <c r="A67" s="84"/>
      <c r="B67" s="46"/>
      <c r="C67" s="46"/>
      <c r="D67" s="46"/>
      <c r="E67" s="46"/>
      <c r="F67" s="46"/>
      <c r="G67" s="46"/>
      <c r="H67" s="83"/>
      <c r="J67" s="84"/>
      <c r="K67" s="46"/>
      <c r="L67" s="46"/>
      <c r="M67" s="46"/>
      <c r="N67" s="46"/>
      <c r="O67" s="46"/>
      <c r="P67" s="46"/>
      <c r="Q67" s="83"/>
      <c r="S67" s="84"/>
      <c r="T67" s="46"/>
      <c r="U67" s="46"/>
      <c r="V67" s="46"/>
      <c r="W67" s="46"/>
      <c r="X67" s="46"/>
      <c r="Y67" s="46"/>
      <c r="Z67" s="83"/>
    </row>
    <row r="68" spans="1:26" x14ac:dyDescent="0.3">
      <c r="A68" s="84"/>
      <c r="B68" s="46"/>
      <c r="C68" s="46"/>
      <c r="D68" s="46"/>
      <c r="E68" s="46"/>
      <c r="F68" s="46"/>
      <c r="G68" s="46"/>
      <c r="H68" s="83"/>
      <c r="J68" s="84"/>
      <c r="K68" s="46"/>
      <c r="L68" s="46"/>
      <c r="M68" s="46"/>
      <c r="N68" s="46"/>
      <c r="O68" s="46"/>
      <c r="P68" s="46"/>
      <c r="Q68" s="83"/>
      <c r="S68" s="84"/>
      <c r="T68" s="46"/>
      <c r="U68" s="46"/>
      <c r="V68" s="46"/>
      <c r="W68" s="46"/>
      <c r="X68" s="46"/>
      <c r="Y68" s="46"/>
      <c r="Z68" s="83"/>
    </row>
    <row r="69" spans="1:26" x14ac:dyDescent="0.3">
      <c r="A69" s="84"/>
      <c r="B69" s="46"/>
      <c r="C69" s="46"/>
      <c r="D69" s="46"/>
      <c r="E69" s="46"/>
      <c r="F69" s="46"/>
      <c r="G69" s="46"/>
      <c r="H69" s="83"/>
      <c r="J69" s="84"/>
      <c r="K69" s="46"/>
      <c r="L69" s="46"/>
      <c r="M69" s="46"/>
      <c r="N69" s="46"/>
      <c r="O69" s="46"/>
      <c r="P69" s="46"/>
      <c r="Q69" s="83"/>
      <c r="S69" s="84"/>
      <c r="T69" s="46"/>
      <c r="U69" s="46"/>
      <c r="V69" s="46"/>
      <c r="W69" s="46"/>
      <c r="X69" s="46"/>
      <c r="Y69" s="46"/>
      <c r="Z69" s="83"/>
    </row>
    <row r="70" spans="1:26" x14ac:dyDescent="0.3">
      <c r="A70" s="84"/>
      <c r="B70" s="46"/>
      <c r="C70" s="46"/>
      <c r="D70" s="46"/>
      <c r="E70" s="46"/>
      <c r="F70" s="46"/>
      <c r="G70" s="46"/>
      <c r="H70" s="83"/>
      <c r="J70" s="84"/>
      <c r="K70" s="46"/>
      <c r="L70" s="46"/>
      <c r="M70" s="46"/>
      <c r="N70" s="46"/>
      <c r="O70" s="46"/>
      <c r="P70" s="46"/>
      <c r="Q70" s="83"/>
      <c r="S70" s="84"/>
      <c r="T70" s="46"/>
      <c r="U70" s="46"/>
      <c r="V70" s="46"/>
      <c r="W70" s="46"/>
      <c r="X70" s="46"/>
      <c r="Y70" s="46"/>
      <c r="Z70" s="83"/>
    </row>
    <row r="71" spans="1:26" x14ac:dyDescent="0.3">
      <c r="A71" s="84"/>
      <c r="B71" s="46"/>
      <c r="C71" s="46"/>
      <c r="D71" s="46"/>
      <c r="E71" s="46"/>
      <c r="F71" s="46"/>
      <c r="G71" s="46"/>
      <c r="H71" s="83"/>
      <c r="J71" s="84"/>
      <c r="K71" s="46"/>
      <c r="L71" s="46"/>
      <c r="M71" s="46"/>
      <c r="N71" s="46"/>
      <c r="O71" s="46"/>
      <c r="P71" s="46"/>
      <c r="Q71" s="83"/>
      <c r="S71" s="84"/>
      <c r="T71" s="46"/>
      <c r="U71" s="46"/>
      <c r="V71" s="46"/>
      <c r="W71" s="46"/>
      <c r="X71" s="46"/>
      <c r="Y71" s="46"/>
      <c r="Z71" s="83"/>
    </row>
    <row r="72" spans="1:26" x14ac:dyDescent="0.3">
      <c r="A72" s="84"/>
      <c r="B72" s="46"/>
      <c r="C72" s="46"/>
      <c r="D72" s="46"/>
      <c r="E72" s="46"/>
      <c r="F72" s="46"/>
      <c r="G72" s="46"/>
      <c r="H72" s="83"/>
      <c r="J72" s="84"/>
      <c r="K72" s="46"/>
      <c r="L72" s="46"/>
      <c r="M72" s="46"/>
      <c r="N72" s="46"/>
      <c r="O72" s="46"/>
      <c r="P72" s="46"/>
      <c r="Q72" s="83"/>
      <c r="S72" s="84"/>
      <c r="T72" s="46"/>
      <c r="U72" s="46"/>
      <c r="V72" s="46"/>
      <c r="W72" s="46"/>
      <c r="X72" s="46"/>
      <c r="Y72" s="46"/>
      <c r="Z72" s="83"/>
    </row>
    <row r="73" spans="1:26" x14ac:dyDescent="0.3">
      <c r="A73" s="84"/>
      <c r="B73" s="46"/>
      <c r="C73" s="46"/>
      <c r="D73" s="46"/>
      <c r="E73" s="46"/>
      <c r="F73" s="46"/>
      <c r="G73" s="46"/>
      <c r="H73" s="83"/>
      <c r="J73" s="84"/>
      <c r="K73" s="46"/>
      <c r="L73" s="46"/>
      <c r="M73" s="46"/>
      <c r="N73" s="46"/>
      <c r="O73" s="46"/>
      <c r="P73" s="46"/>
      <c r="Q73" s="83"/>
      <c r="S73" s="84"/>
      <c r="T73" s="46"/>
      <c r="U73" s="46"/>
      <c r="V73" s="46"/>
      <c r="W73" s="46"/>
      <c r="X73" s="46"/>
      <c r="Y73" s="46"/>
      <c r="Z73" s="83"/>
    </row>
    <row r="74" spans="1:26" x14ac:dyDescent="0.3">
      <c r="A74" s="84"/>
      <c r="B74" s="46"/>
      <c r="C74" s="46"/>
      <c r="D74" s="46"/>
      <c r="E74" s="46"/>
      <c r="F74" s="46"/>
      <c r="G74" s="46"/>
      <c r="H74" s="83"/>
      <c r="J74" s="84"/>
      <c r="K74" s="46"/>
      <c r="L74" s="46"/>
      <c r="M74" s="46"/>
      <c r="N74" s="46"/>
      <c r="O74" s="46"/>
      <c r="P74" s="46"/>
      <c r="Q74" s="83"/>
      <c r="S74" s="84"/>
      <c r="T74" s="46"/>
      <c r="U74" s="46"/>
      <c r="V74" s="46"/>
      <c r="W74" s="46"/>
      <c r="X74" s="46"/>
      <c r="Y74" s="46"/>
      <c r="Z74" s="83"/>
    </row>
    <row r="75" spans="1:26" x14ac:dyDescent="0.3">
      <c r="A75" s="84"/>
      <c r="B75" s="46"/>
      <c r="C75" s="46"/>
      <c r="D75" s="46"/>
      <c r="E75" s="46"/>
      <c r="F75" s="46"/>
      <c r="G75" s="46"/>
      <c r="H75" s="83"/>
      <c r="J75" s="84"/>
      <c r="K75" s="46"/>
      <c r="L75" s="46"/>
      <c r="M75" s="46"/>
      <c r="N75" s="46"/>
      <c r="O75" s="46"/>
      <c r="P75" s="46"/>
      <c r="Q75" s="83"/>
      <c r="S75" s="84"/>
      <c r="T75" s="46"/>
      <c r="U75" s="46"/>
      <c r="V75" s="46"/>
      <c r="W75" s="46"/>
      <c r="X75" s="46"/>
      <c r="Y75" s="46"/>
      <c r="Z75" s="83"/>
    </row>
    <row r="76" spans="1:26" x14ac:dyDescent="0.3">
      <c r="A76" s="84"/>
      <c r="B76" s="46"/>
      <c r="C76" s="46"/>
      <c r="D76" s="46"/>
      <c r="E76" s="46"/>
      <c r="F76" s="46"/>
      <c r="G76" s="46"/>
      <c r="H76" s="83"/>
      <c r="J76" s="84"/>
      <c r="K76" s="46"/>
      <c r="L76" s="46"/>
      <c r="M76" s="46"/>
      <c r="N76" s="46"/>
      <c r="O76" s="46"/>
      <c r="P76" s="46"/>
      <c r="Q76" s="83"/>
      <c r="S76" s="84"/>
      <c r="T76" s="46"/>
      <c r="U76" s="46"/>
      <c r="V76" s="46"/>
      <c r="W76" s="46"/>
      <c r="X76" s="46"/>
      <c r="Y76" s="46"/>
      <c r="Z76" s="83"/>
    </row>
    <row r="77" spans="1:26" x14ac:dyDescent="0.3">
      <c r="A77" s="84"/>
      <c r="B77" s="46"/>
      <c r="C77" s="46"/>
      <c r="D77" s="46"/>
      <c r="E77" s="46"/>
      <c r="F77" s="46"/>
      <c r="G77" s="46"/>
      <c r="H77" s="83"/>
      <c r="J77" s="84"/>
      <c r="K77" s="46"/>
      <c r="L77" s="46"/>
      <c r="M77" s="46"/>
      <c r="N77" s="46"/>
      <c r="O77" s="46"/>
      <c r="P77" s="46"/>
      <c r="Q77" s="83"/>
      <c r="S77" s="84"/>
      <c r="T77" s="46"/>
      <c r="U77" s="46"/>
      <c r="V77" s="46"/>
      <c r="W77" s="46"/>
      <c r="X77" s="46"/>
      <c r="Y77" s="46"/>
      <c r="Z77" s="83"/>
    </row>
    <row r="78" spans="1:26" x14ac:dyDescent="0.3">
      <c r="A78" s="84"/>
      <c r="B78" s="46"/>
      <c r="C78" s="46"/>
      <c r="D78" s="46"/>
      <c r="E78" s="46"/>
      <c r="F78" s="46"/>
      <c r="G78" s="46"/>
      <c r="H78" s="83"/>
      <c r="J78" s="84"/>
      <c r="K78" s="46"/>
      <c r="L78" s="46"/>
      <c r="M78" s="46"/>
      <c r="N78" s="46"/>
      <c r="O78" s="46"/>
      <c r="P78" s="46"/>
      <c r="Q78" s="83"/>
      <c r="S78" s="84"/>
      <c r="T78" s="46"/>
      <c r="U78" s="46"/>
      <c r="V78" s="46"/>
      <c r="W78" s="46"/>
      <c r="X78" s="46"/>
      <c r="Y78" s="46"/>
      <c r="Z78" s="83"/>
    </row>
    <row r="79" spans="1:26" x14ac:dyDescent="0.3">
      <c r="A79" s="84"/>
      <c r="B79" s="46"/>
      <c r="C79" s="46"/>
      <c r="D79" s="46"/>
      <c r="E79" s="46"/>
      <c r="F79" s="46"/>
      <c r="G79" s="46"/>
      <c r="H79" s="83"/>
      <c r="J79" s="84"/>
      <c r="K79" s="46"/>
      <c r="L79" s="46"/>
      <c r="M79" s="46"/>
      <c r="N79" s="46"/>
      <c r="O79" s="46"/>
      <c r="P79" s="46"/>
      <c r="Q79" s="83"/>
      <c r="S79" s="84"/>
      <c r="T79" s="46"/>
      <c r="U79" s="46"/>
      <c r="V79" s="46"/>
      <c r="W79" s="46"/>
      <c r="X79" s="46"/>
      <c r="Y79" s="46"/>
      <c r="Z79" s="83"/>
    </row>
    <row r="80" spans="1:26" ht="15" thickBot="1" x14ac:dyDescent="0.35">
      <c r="A80" s="82"/>
      <c r="B80" s="81"/>
      <c r="C80" s="81"/>
      <c r="D80" s="81"/>
      <c r="E80" s="81"/>
      <c r="F80" s="81"/>
      <c r="G80" s="81"/>
      <c r="H80" s="80"/>
      <c r="J80" s="82"/>
      <c r="K80" s="81"/>
      <c r="L80" s="81"/>
      <c r="M80" s="81"/>
      <c r="N80" s="81"/>
      <c r="O80" s="81"/>
      <c r="P80" s="81"/>
      <c r="Q80" s="80"/>
      <c r="S80" s="82"/>
      <c r="T80" s="81"/>
      <c r="U80" s="81"/>
      <c r="V80" s="81"/>
      <c r="W80" s="81"/>
      <c r="X80" s="81"/>
      <c r="Y80" s="81"/>
      <c r="Z80" s="80"/>
    </row>
    <row r="81" spans="1:26" x14ac:dyDescent="0.3">
      <c r="A81"/>
      <c r="B81"/>
      <c r="D81"/>
      <c r="T81" s="3"/>
      <c r="W81"/>
    </row>
    <row r="82" spans="1:26" ht="15" thickBot="1" x14ac:dyDescent="0.35">
      <c r="A82"/>
      <c r="B82"/>
      <c r="D82"/>
      <c r="T82"/>
      <c r="W82"/>
    </row>
    <row r="83" spans="1:26" ht="15" customHeight="1" x14ac:dyDescent="0.3">
      <c r="A83" s="87"/>
      <c r="B83" s="238" t="s">
        <v>572</v>
      </c>
      <c r="C83" s="239"/>
      <c r="D83" s="239"/>
      <c r="E83" s="239"/>
      <c r="F83" s="240"/>
      <c r="G83" s="86"/>
      <c r="H83" s="85"/>
      <c r="J83" s="87"/>
      <c r="K83" s="86"/>
      <c r="L83" s="86"/>
      <c r="M83" s="232" t="s">
        <v>573</v>
      </c>
      <c r="N83" s="234"/>
      <c r="O83" s="86"/>
      <c r="P83" s="86"/>
      <c r="Q83" s="85"/>
      <c r="S83" s="87"/>
      <c r="T83" s="86"/>
      <c r="U83" s="86"/>
      <c r="V83" s="232" t="s">
        <v>574</v>
      </c>
      <c r="W83" s="234"/>
      <c r="X83" s="86"/>
      <c r="Y83" s="86"/>
      <c r="Z83" s="85"/>
    </row>
    <row r="84" spans="1:26" ht="15.75" customHeight="1" thickBot="1" x14ac:dyDescent="0.35">
      <c r="A84" s="84"/>
      <c r="B84" s="241"/>
      <c r="C84" s="242"/>
      <c r="D84" s="242"/>
      <c r="E84" s="242"/>
      <c r="F84" s="243"/>
      <c r="G84" s="46"/>
      <c r="H84" s="83"/>
      <c r="J84" s="84"/>
      <c r="K84" s="46"/>
      <c r="L84" s="46"/>
      <c r="M84" s="235"/>
      <c r="N84" s="237"/>
      <c r="O84" s="46"/>
      <c r="P84" s="46"/>
      <c r="Q84" s="83"/>
      <c r="S84" s="84"/>
      <c r="T84" s="46"/>
      <c r="U84" s="46"/>
      <c r="V84" s="235"/>
      <c r="W84" s="237"/>
      <c r="X84" s="46"/>
      <c r="Y84" s="46"/>
      <c r="Z84" s="83"/>
    </row>
    <row r="85" spans="1:26" x14ac:dyDescent="0.3">
      <c r="A85" s="84"/>
      <c r="B85" s="46"/>
      <c r="C85" s="46"/>
      <c r="D85" s="46"/>
      <c r="E85" s="46"/>
      <c r="F85" s="46"/>
      <c r="G85" s="46"/>
      <c r="H85" s="83"/>
      <c r="J85" s="84"/>
      <c r="K85" s="46"/>
      <c r="L85" s="46"/>
      <c r="M85" s="46"/>
      <c r="N85" s="46"/>
      <c r="O85" s="46"/>
      <c r="P85" s="46"/>
      <c r="Q85" s="83"/>
      <c r="S85" s="84"/>
      <c r="T85" s="46"/>
      <c r="U85" s="46"/>
      <c r="V85" s="46"/>
      <c r="W85" s="46"/>
      <c r="X85" s="46"/>
      <c r="Y85" s="46"/>
      <c r="Z85" s="83"/>
    </row>
    <row r="86" spans="1:26" x14ac:dyDescent="0.3">
      <c r="A86" s="84"/>
      <c r="B86" s="46"/>
      <c r="C86" s="46"/>
      <c r="D86" s="46"/>
      <c r="E86" s="46"/>
      <c r="F86" s="46"/>
      <c r="G86" s="46"/>
      <c r="H86" s="83"/>
      <c r="J86" s="84"/>
      <c r="K86" s="46"/>
      <c r="L86" s="46"/>
      <c r="M86" s="46"/>
      <c r="N86" s="46"/>
      <c r="O86" s="46"/>
      <c r="P86" s="46"/>
      <c r="Q86" s="83"/>
      <c r="S86" s="84"/>
      <c r="T86" s="46"/>
      <c r="U86" s="46"/>
      <c r="V86" s="46"/>
      <c r="W86" s="46"/>
      <c r="X86" s="46"/>
      <c r="Y86" s="46"/>
      <c r="Z86" s="83"/>
    </row>
    <row r="87" spans="1:26" x14ac:dyDescent="0.3">
      <c r="A87" s="84"/>
      <c r="B87" s="46"/>
      <c r="C87" s="46"/>
      <c r="D87" s="46"/>
      <c r="E87" s="46"/>
      <c r="F87" s="46"/>
      <c r="G87" s="46"/>
      <c r="H87" s="83"/>
      <c r="J87" s="84"/>
      <c r="K87" s="46"/>
      <c r="L87" s="46"/>
      <c r="M87" s="46"/>
      <c r="N87" s="46"/>
      <c r="O87" s="46"/>
      <c r="P87" s="46"/>
      <c r="Q87" s="83"/>
      <c r="S87" s="84"/>
      <c r="T87" s="46"/>
      <c r="U87" s="46"/>
      <c r="V87" s="46"/>
      <c r="W87" s="46"/>
      <c r="X87" s="46"/>
      <c r="Y87" s="46"/>
      <c r="Z87" s="83"/>
    </row>
    <row r="88" spans="1:26" x14ac:dyDescent="0.3">
      <c r="A88" s="84"/>
      <c r="B88" s="46"/>
      <c r="C88" s="46"/>
      <c r="D88" s="46"/>
      <c r="E88" s="46"/>
      <c r="F88" s="46"/>
      <c r="G88" s="46"/>
      <c r="H88" s="83"/>
      <c r="J88" s="84"/>
      <c r="K88" s="46"/>
      <c r="L88" s="46"/>
      <c r="M88" s="46"/>
      <c r="N88" s="46"/>
      <c r="O88" s="46"/>
      <c r="P88" s="46"/>
      <c r="Q88" s="83"/>
      <c r="S88" s="84"/>
      <c r="T88" s="46"/>
      <c r="U88" s="46"/>
      <c r="V88" s="46"/>
      <c r="W88" s="46"/>
      <c r="X88" s="46"/>
      <c r="Y88" s="46"/>
      <c r="Z88" s="83"/>
    </row>
    <row r="89" spans="1:26" x14ac:dyDescent="0.3">
      <c r="A89" s="84"/>
      <c r="B89" s="46"/>
      <c r="C89" s="46"/>
      <c r="D89" s="46"/>
      <c r="E89" s="46"/>
      <c r="F89" s="46"/>
      <c r="G89" s="46"/>
      <c r="H89" s="83"/>
      <c r="J89" s="84"/>
      <c r="K89" s="46"/>
      <c r="L89" s="46"/>
      <c r="M89" s="46"/>
      <c r="N89" s="46"/>
      <c r="O89" s="46"/>
      <c r="P89" s="46"/>
      <c r="Q89" s="83"/>
      <c r="S89" s="84"/>
      <c r="T89" s="46"/>
      <c r="U89" s="46"/>
      <c r="V89" s="46"/>
      <c r="W89" s="46"/>
      <c r="X89" s="46"/>
      <c r="Y89" s="46"/>
      <c r="Z89" s="83"/>
    </row>
    <row r="90" spans="1:26" x14ac:dyDescent="0.3">
      <c r="A90" s="84"/>
      <c r="B90" s="46"/>
      <c r="C90" s="46"/>
      <c r="D90" s="46"/>
      <c r="E90" s="46"/>
      <c r="F90" s="46"/>
      <c r="G90" s="46"/>
      <c r="H90" s="83"/>
      <c r="J90" s="84"/>
      <c r="K90" s="46"/>
      <c r="L90" s="46"/>
      <c r="M90" s="46"/>
      <c r="N90" s="46"/>
      <c r="O90" s="46"/>
      <c r="P90" s="46"/>
      <c r="Q90" s="83"/>
      <c r="S90" s="84"/>
      <c r="T90" s="46"/>
      <c r="U90" s="46"/>
      <c r="V90" s="46"/>
      <c r="W90" s="46"/>
      <c r="X90" s="46"/>
      <c r="Y90" s="46"/>
      <c r="Z90" s="83"/>
    </row>
    <row r="91" spans="1:26" x14ac:dyDescent="0.3">
      <c r="A91" s="84"/>
      <c r="B91" s="46"/>
      <c r="C91" s="46"/>
      <c r="D91" s="46"/>
      <c r="E91" s="46"/>
      <c r="F91" s="46"/>
      <c r="G91" s="46"/>
      <c r="H91" s="83"/>
      <c r="J91" s="84"/>
      <c r="K91" s="46"/>
      <c r="L91" s="46"/>
      <c r="M91" s="46"/>
      <c r="N91" s="46"/>
      <c r="O91" s="46"/>
      <c r="P91" s="46"/>
      <c r="Q91" s="83"/>
      <c r="S91" s="84"/>
      <c r="T91" s="46"/>
      <c r="U91" s="46"/>
      <c r="V91" s="46"/>
      <c r="W91" s="46"/>
      <c r="X91" s="46"/>
      <c r="Y91" s="46"/>
      <c r="Z91" s="83"/>
    </row>
    <row r="92" spans="1:26" x14ac:dyDescent="0.3">
      <c r="A92" s="84"/>
      <c r="B92" s="46"/>
      <c r="C92" s="46"/>
      <c r="D92" s="46"/>
      <c r="E92" s="46"/>
      <c r="F92" s="46"/>
      <c r="G92" s="46"/>
      <c r="H92" s="83"/>
      <c r="J92" s="84"/>
      <c r="K92" s="46"/>
      <c r="L92" s="46"/>
      <c r="M92" s="46"/>
      <c r="N92" s="46"/>
      <c r="O92" s="46"/>
      <c r="P92" s="46"/>
      <c r="Q92" s="83"/>
      <c r="S92" s="84"/>
      <c r="T92" s="46"/>
      <c r="U92" s="46"/>
      <c r="V92" s="46"/>
      <c r="W92" s="46"/>
      <c r="X92" s="46"/>
      <c r="Y92" s="46"/>
      <c r="Z92" s="83"/>
    </row>
    <row r="93" spans="1:26" x14ac:dyDescent="0.3">
      <c r="A93" s="84"/>
      <c r="B93" s="46"/>
      <c r="C93" s="46"/>
      <c r="D93" s="46"/>
      <c r="E93" s="46"/>
      <c r="F93" s="46"/>
      <c r="G93" s="46"/>
      <c r="H93" s="83"/>
      <c r="J93" s="84"/>
      <c r="K93" s="46"/>
      <c r="L93" s="46"/>
      <c r="M93" s="46"/>
      <c r="N93" s="46"/>
      <c r="O93" s="46"/>
      <c r="P93" s="46"/>
      <c r="Q93" s="83"/>
      <c r="S93" s="84"/>
      <c r="T93" s="46"/>
      <c r="U93" s="46"/>
      <c r="V93" s="46"/>
      <c r="W93" s="46"/>
      <c r="X93" s="46"/>
      <c r="Y93" s="46"/>
      <c r="Z93" s="83"/>
    </row>
    <row r="94" spans="1:26" x14ac:dyDescent="0.3">
      <c r="A94" s="84"/>
      <c r="B94" s="46"/>
      <c r="C94" s="46"/>
      <c r="D94" s="46"/>
      <c r="E94" s="46"/>
      <c r="F94" s="46"/>
      <c r="G94" s="46"/>
      <c r="H94" s="83"/>
      <c r="J94" s="84"/>
      <c r="K94" s="46"/>
      <c r="L94" s="46"/>
      <c r="M94" s="46"/>
      <c r="N94" s="46"/>
      <c r="O94" s="46"/>
      <c r="P94" s="46"/>
      <c r="Q94" s="83"/>
      <c r="S94" s="84"/>
      <c r="T94" s="46"/>
      <c r="U94" s="46"/>
      <c r="V94" s="46"/>
      <c r="W94" s="46"/>
      <c r="X94" s="46"/>
      <c r="Y94" s="46"/>
      <c r="Z94" s="83"/>
    </row>
    <row r="95" spans="1:26" x14ac:dyDescent="0.3">
      <c r="A95" s="84"/>
      <c r="B95" s="46"/>
      <c r="C95" s="46"/>
      <c r="D95" s="46"/>
      <c r="E95" s="46"/>
      <c r="F95" s="46"/>
      <c r="G95" s="46"/>
      <c r="H95" s="83"/>
      <c r="J95" s="84"/>
      <c r="K95" s="46"/>
      <c r="L95" s="46"/>
      <c r="M95" s="46"/>
      <c r="N95" s="46"/>
      <c r="O95" s="46"/>
      <c r="P95" s="46"/>
      <c r="Q95" s="83"/>
      <c r="S95" s="84"/>
      <c r="T95" s="46"/>
      <c r="U95" s="46"/>
      <c r="V95" s="46"/>
      <c r="W95" s="46"/>
      <c r="X95" s="46"/>
      <c r="Y95" s="46"/>
      <c r="Z95" s="83"/>
    </row>
    <row r="96" spans="1:26" x14ac:dyDescent="0.3">
      <c r="A96" s="84"/>
      <c r="B96" s="46"/>
      <c r="C96" s="46"/>
      <c r="D96" s="46"/>
      <c r="E96" s="46"/>
      <c r="F96" s="46"/>
      <c r="G96" s="46"/>
      <c r="H96" s="83"/>
      <c r="J96" s="84"/>
      <c r="K96" s="46"/>
      <c r="L96" s="46"/>
      <c r="M96" s="46"/>
      <c r="N96" s="46"/>
      <c r="O96" s="46"/>
      <c r="P96" s="46"/>
      <c r="Q96" s="83"/>
      <c r="S96" s="84"/>
      <c r="T96" s="46"/>
      <c r="U96" s="46"/>
      <c r="V96" s="46"/>
      <c r="W96" s="46"/>
      <c r="X96" s="46"/>
      <c r="Y96" s="46"/>
      <c r="Z96" s="83"/>
    </row>
    <row r="97" spans="1:26" x14ac:dyDescent="0.3">
      <c r="A97" s="84"/>
      <c r="B97" s="46"/>
      <c r="C97" s="46"/>
      <c r="D97" s="46"/>
      <c r="E97" s="46"/>
      <c r="F97" s="46"/>
      <c r="G97" s="46"/>
      <c r="H97" s="83"/>
      <c r="J97" s="84"/>
      <c r="K97" s="46"/>
      <c r="L97" s="46"/>
      <c r="M97" s="46"/>
      <c r="N97" s="46"/>
      <c r="O97" s="46"/>
      <c r="P97" s="46"/>
      <c r="Q97" s="83"/>
      <c r="S97" s="84"/>
      <c r="T97" s="46"/>
      <c r="U97" s="46"/>
      <c r="V97" s="46"/>
      <c r="W97" s="46"/>
      <c r="X97" s="46"/>
      <c r="Y97" s="46"/>
      <c r="Z97" s="83"/>
    </row>
    <row r="98" spans="1:26" x14ac:dyDescent="0.3">
      <c r="A98" s="84"/>
      <c r="B98" s="46"/>
      <c r="C98" s="46"/>
      <c r="D98" s="46"/>
      <c r="E98" s="46"/>
      <c r="F98" s="46"/>
      <c r="G98" s="46"/>
      <c r="H98" s="83"/>
      <c r="J98" s="84"/>
      <c r="K98" s="46"/>
      <c r="L98" s="46"/>
      <c r="M98" s="46"/>
      <c r="N98" s="46"/>
      <c r="O98" s="46"/>
      <c r="P98" s="46"/>
      <c r="Q98" s="83"/>
      <c r="S98" s="84"/>
      <c r="T98" s="46"/>
      <c r="U98" s="46"/>
      <c r="V98" s="46"/>
      <c r="W98" s="46"/>
      <c r="X98" s="46"/>
      <c r="Y98" s="46"/>
      <c r="Z98" s="83"/>
    </row>
    <row r="99" spans="1:26" x14ac:dyDescent="0.3">
      <c r="A99" s="84"/>
      <c r="B99" s="46"/>
      <c r="C99" s="46"/>
      <c r="D99" s="46"/>
      <c r="E99" s="46"/>
      <c r="F99" s="46"/>
      <c r="G99" s="46"/>
      <c r="H99" s="83"/>
      <c r="J99" s="84"/>
      <c r="K99" s="46"/>
      <c r="L99" s="46"/>
      <c r="M99" s="46"/>
      <c r="N99" s="46"/>
      <c r="O99" s="46"/>
      <c r="P99" s="46"/>
      <c r="Q99" s="83"/>
      <c r="S99" s="84"/>
      <c r="T99" s="46"/>
      <c r="U99" s="46"/>
      <c r="V99" s="46"/>
      <c r="W99" s="46"/>
      <c r="X99" s="46"/>
      <c r="Y99" s="46"/>
      <c r="Z99" s="83"/>
    </row>
    <row r="100" spans="1:26" ht="15" thickBot="1" x14ac:dyDescent="0.35">
      <c r="A100" s="82"/>
      <c r="B100" s="81"/>
      <c r="C100" s="81"/>
      <c r="D100" s="81"/>
      <c r="E100" s="81"/>
      <c r="F100" s="81"/>
      <c r="G100" s="81"/>
      <c r="H100" s="80"/>
      <c r="J100" s="82"/>
      <c r="K100" s="81"/>
      <c r="L100" s="81"/>
      <c r="M100" s="81"/>
      <c r="N100" s="81"/>
      <c r="O100" s="81"/>
      <c r="P100" s="81"/>
      <c r="Q100" s="80"/>
      <c r="S100" s="82"/>
      <c r="T100" s="81"/>
      <c r="U100" s="81"/>
      <c r="V100" s="81"/>
      <c r="W100" s="81"/>
      <c r="X100" s="81"/>
      <c r="Y100" s="81"/>
      <c r="Z100" s="80"/>
    </row>
    <row r="119" spans="1:23" ht="23.4" x14ac:dyDescent="0.45">
      <c r="A119" s="89" t="s">
        <v>28</v>
      </c>
    </row>
    <row r="122" spans="1:23" ht="15" thickBot="1" x14ac:dyDescent="0.35"/>
    <row r="123" spans="1:23" ht="15" thickBot="1" x14ac:dyDescent="0.35">
      <c r="A123" s="264" t="s">
        <v>838</v>
      </c>
      <c r="B123" s="265"/>
    </row>
    <row r="124" spans="1:23" ht="15" thickBot="1" x14ac:dyDescent="0.35">
      <c r="A124" s="186" t="s">
        <v>29</v>
      </c>
      <c r="B124" s="187" t="s">
        <v>576</v>
      </c>
      <c r="C124" s="188" t="s">
        <v>260</v>
      </c>
      <c r="D124" s="187" t="s">
        <v>577</v>
      </c>
      <c r="E124" s="188" t="s">
        <v>578</v>
      </c>
      <c r="F124" s="188" t="s">
        <v>579</v>
      </c>
      <c r="G124" s="188" t="s">
        <v>580</v>
      </c>
      <c r="H124" s="188" t="s">
        <v>480</v>
      </c>
      <c r="I124" s="188" t="s">
        <v>251</v>
      </c>
      <c r="J124" s="188" t="s">
        <v>249</v>
      </c>
      <c r="K124" s="188" t="s">
        <v>250</v>
      </c>
      <c r="L124" s="188" t="s">
        <v>581</v>
      </c>
      <c r="M124" s="188" t="s">
        <v>582</v>
      </c>
      <c r="N124" s="188" t="s">
        <v>583</v>
      </c>
      <c r="O124" s="188" t="s">
        <v>584</v>
      </c>
      <c r="P124" s="188" t="s">
        <v>9</v>
      </c>
      <c r="Q124" s="188" t="s">
        <v>10</v>
      </c>
      <c r="R124" s="188" t="s">
        <v>50</v>
      </c>
      <c r="S124" s="188" t="s">
        <v>11</v>
      </c>
      <c r="T124" s="189" t="s">
        <v>6</v>
      </c>
      <c r="U124" s="188" t="s">
        <v>585</v>
      </c>
      <c r="V124" s="188" t="s">
        <v>586</v>
      </c>
      <c r="W124" s="190" t="s">
        <v>13</v>
      </c>
    </row>
    <row r="125" spans="1:23" x14ac:dyDescent="0.3">
      <c r="A125" s="179" t="s">
        <v>768</v>
      </c>
      <c r="B125" s="180" t="s">
        <v>769</v>
      </c>
      <c r="C125" s="181"/>
      <c r="D125" s="182">
        <v>2003</v>
      </c>
      <c r="E125" s="181">
        <v>94.9</v>
      </c>
      <c r="F125" s="181"/>
      <c r="G125" s="181"/>
      <c r="H125" s="183"/>
      <c r="I125" s="183"/>
      <c r="J125" s="183">
        <v>20.399999999999999</v>
      </c>
      <c r="K125" s="183">
        <v>7.9</v>
      </c>
      <c r="L125" s="184"/>
      <c r="M125" s="181"/>
      <c r="N125" s="181">
        <v>6500</v>
      </c>
      <c r="O125" s="181"/>
      <c r="P125" s="181">
        <f>E125/J125</f>
        <v>4.6519607843137258</v>
      </c>
      <c r="Q125" s="181">
        <f>J125/K125</f>
        <v>2.5822784810126578</v>
      </c>
      <c r="R125" s="181">
        <f>E125/K125</f>
        <v>12.012658227848101</v>
      </c>
      <c r="S125" s="181"/>
      <c r="T125" s="183"/>
      <c r="U125" s="181">
        <v>15</v>
      </c>
      <c r="V125" s="181"/>
      <c r="W125" s="185"/>
    </row>
    <row r="126" spans="1:23" x14ac:dyDescent="0.3">
      <c r="A126" s="62" t="s">
        <v>770</v>
      </c>
      <c r="B126" s="47" t="s">
        <v>771</v>
      </c>
      <c r="C126" s="49"/>
      <c r="D126" s="50">
        <v>2008</v>
      </c>
      <c r="E126" s="49">
        <v>93.6</v>
      </c>
      <c r="F126" s="49"/>
      <c r="G126" s="49"/>
      <c r="H126" s="52"/>
      <c r="I126" s="52"/>
      <c r="J126" s="52">
        <v>19.7</v>
      </c>
      <c r="K126" s="52">
        <v>6.3</v>
      </c>
      <c r="L126" s="51"/>
      <c r="M126" s="49"/>
      <c r="N126" s="49">
        <v>4785</v>
      </c>
      <c r="O126" s="49"/>
      <c r="P126" s="49">
        <f t="shared" ref="P126:P178" si="0">E126/J126</f>
        <v>4.751269035532995</v>
      </c>
      <c r="Q126" s="49">
        <f t="shared" ref="Q126:Q127" si="1">J126/K126</f>
        <v>3.126984126984127</v>
      </c>
      <c r="R126" s="49">
        <f t="shared" ref="R126:R127" si="2">E126/K126</f>
        <v>14.857142857142856</v>
      </c>
      <c r="S126" s="49"/>
      <c r="T126" s="52"/>
      <c r="U126" s="49">
        <v>15</v>
      </c>
      <c r="V126" s="49"/>
      <c r="W126" s="63"/>
    </row>
    <row r="127" spans="1:23" x14ac:dyDescent="0.3">
      <c r="A127" s="62" t="s">
        <v>772</v>
      </c>
      <c r="B127" s="47" t="s">
        <v>769</v>
      </c>
      <c r="C127" s="49"/>
      <c r="D127" s="50">
        <v>2005</v>
      </c>
      <c r="E127" s="49">
        <v>93.4</v>
      </c>
      <c r="F127" s="49"/>
      <c r="G127" s="49"/>
      <c r="H127" s="52"/>
      <c r="I127" s="52"/>
      <c r="J127" s="52">
        <v>19.2</v>
      </c>
      <c r="K127" s="52">
        <v>6.82</v>
      </c>
      <c r="L127" s="51"/>
      <c r="M127" s="49"/>
      <c r="N127" s="49">
        <v>5304</v>
      </c>
      <c r="O127" s="49"/>
      <c r="P127" s="49">
        <f t="shared" si="0"/>
        <v>4.8645833333333339</v>
      </c>
      <c r="Q127" s="49">
        <f t="shared" si="1"/>
        <v>2.8152492668621698</v>
      </c>
      <c r="R127" s="49">
        <f t="shared" si="2"/>
        <v>13.695014662756599</v>
      </c>
      <c r="S127" s="49"/>
      <c r="T127" s="52"/>
      <c r="U127" s="49">
        <v>15</v>
      </c>
      <c r="V127" s="49"/>
      <c r="W127" s="63"/>
    </row>
    <row r="128" spans="1:23" x14ac:dyDescent="0.3">
      <c r="A128" s="62" t="s">
        <v>773</v>
      </c>
      <c r="B128" s="47" t="s">
        <v>774</v>
      </c>
      <c r="C128" s="49"/>
      <c r="D128" s="50">
        <v>2007</v>
      </c>
      <c r="E128" s="49">
        <v>93.3</v>
      </c>
      <c r="F128" s="49"/>
      <c r="G128" s="49"/>
      <c r="H128" s="52"/>
      <c r="I128" s="52"/>
      <c r="J128" s="52">
        <v>22</v>
      </c>
      <c r="K128" s="52"/>
      <c r="L128" s="51"/>
      <c r="M128" s="49"/>
      <c r="N128" s="49">
        <v>4200</v>
      </c>
      <c r="O128" s="49"/>
      <c r="P128" s="49">
        <f t="shared" si="0"/>
        <v>4.2409090909090912</v>
      </c>
      <c r="Q128" s="49"/>
      <c r="R128" s="49" t="e">
        <f>E128/K128</f>
        <v>#DIV/0!</v>
      </c>
      <c r="S128" s="49"/>
      <c r="T128" s="52"/>
      <c r="U128" s="49">
        <v>15</v>
      </c>
      <c r="V128" s="49"/>
      <c r="W128" s="63"/>
    </row>
    <row r="129" spans="1:24" x14ac:dyDescent="0.3">
      <c r="A129" s="62" t="s">
        <v>775</v>
      </c>
      <c r="B129" s="47" t="s">
        <v>769</v>
      </c>
      <c r="C129" s="49"/>
      <c r="D129" s="50">
        <v>1990</v>
      </c>
      <c r="E129" s="49">
        <v>93.3</v>
      </c>
      <c r="F129" s="49"/>
      <c r="G129" s="49"/>
      <c r="H129" s="52"/>
      <c r="I129" s="52"/>
      <c r="J129" s="52">
        <v>18</v>
      </c>
      <c r="K129" s="52">
        <v>4.97</v>
      </c>
      <c r="L129" s="51"/>
      <c r="M129" s="49"/>
      <c r="N129" s="49">
        <v>3796</v>
      </c>
      <c r="O129" s="49"/>
      <c r="P129" s="49">
        <f t="shared" si="0"/>
        <v>5.1833333333333336</v>
      </c>
      <c r="Q129" s="49">
        <f t="shared" ref="Q129:Q178" si="3">J129/K129</f>
        <v>3.6217303822937628</v>
      </c>
      <c r="R129" s="49">
        <f t="shared" ref="R129:R178" si="4">E129/K129</f>
        <v>18.772635814889338</v>
      </c>
      <c r="S129" s="49"/>
      <c r="T129" s="52"/>
      <c r="U129" s="49">
        <v>19</v>
      </c>
      <c r="V129" s="49"/>
      <c r="W129" s="63"/>
    </row>
    <row r="130" spans="1:24" x14ac:dyDescent="0.3">
      <c r="A130" s="62" t="s">
        <v>776</v>
      </c>
      <c r="B130" s="47" t="s">
        <v>771</v>
      </c>
      <c r="C130" s="49"/>
      <c r="D130" s="50">
        <v>2005</v>
      </c>
      <c r="E130" s="49">
        <v>91.1</v>
      </c>
      <c r="F130" s="49"/>
      <c r="G130" s="49"/>
      <c r="H130" s="52"/>
      <c r="I130" s="52"/>
      <c r="J130" s="52">
        <v>19</v>
      </c>
      <c r="K130" s="52">
        <v>6.5</v>
      </c>
      <c r="L130" s="51"/>
      <c r="M130" s="49"/>
      <c r="N130" s="49">
        <v>5000</v>
      </c>
      <c r="O130" s="49"/>
      <c r="P130" s="49">
        <f t="shared" si="0"/>
        <v>4.7947368421052632</v>
      </c>
      <c r="Q130" s="49">
        <f t="shared" si="3"/>
        <v>2.9230769230769229</v>
      </c>
      <c r="R130" s="49">
        <f t="shared" si="4"/>
        <v>14.015384615384615</v>
      </c>
      <c r="S130" s="49"/>
      <c r="T130" s="52"/>
      <c r="U130" s="49">
        <v>8.1</v>
      </c>
      <c r="V130" s="49"/>
      <c r="W130" s="63"/>
    </row>
    <row r="131" spans="1:24" x14ac:dyDescent="0.3">
      <c r="A131" s="62" t="s">
        <v>777</v>
      </c>
      <c r="B131" s="47" t="s">
        <v>771</v>
      </c>
      <c r="C131" s="49"/>
      <c r="D131" s="50">
        <v>2007</v>
      </c>
      <c r="E131" s="49">
        <v>91.1</v>
      </c>
      <c r="F131" s="49"/>
      <c r="G131" s="49"/>
      <c r="H131" s="52"/>
      <c r="I131" s="52"/>
      <c r="J131" s="52">
        <v>19</v>
      </c>
      <c r="K131" s="52">
        <v>6.5</v>
      </c>
      <c r="L131" s="51"/>
      <c r="M131" s="49"/>
      <c r="N131" s="49">
        <v>4850</v>
      </c>
      <c r="O131" s="49"/>
      <c r="P131" s="49">
        <f t="shared" si="0"/>
        <v>4.7947368421052632</v>
      </c>
      <c r="Q131" s="49">
        <f t="shared" si="3"/>
        <v>2.9230769230769229</v>
      </c>
      <c r="R131" s="49">
        <f t="shared" si="4"/>
        <v>14.015384615384615</v>
      </c>
      <c r="S131" s="49"/>
      <c r="T131" s="52"/>
      <c r="U131" s="49">
        <v>5.4</v>
      </c>
      <c r="V131" s="49"/>
      <c r="W131" s="63"/>
    </row>
    <row r="132" spans="1:24" x14ac:dyDescent="0.3">
      <c r="A132" s="62" t="s">
        <v>778</v>
      </c>
      <c r="B132" s="47" t="s">
        <v>774</v>
      </c>
      <c r="C132" s="49"/>
      <c r="D132" s="50">
        <v>2009</v>
      </c>
      <c r="E132" s="49">
        <v>90.3</v>
      </c>
      <c r="F132" s="49"/>
      <c r="G132" s="49"/>
      <c r="H132" s="52"/>
      <c r="I132" s="52"/>
      <c r="J132" s="52">
        <v>23</v>
      </c>
      <c r="K132" s="52">
        <v>7.8</v>
      </c>
      <c r="L132" s="51"/>
      <c r="M132" s="49"/>
      <c r="N132" s="49">
        <v>4470</v>
      </c>
      <c r="O132" s="49"/>
      <c r="P132" s="49">
        <f t="shared" si="0"/>
        <v>3.9260869565217389</v>
      </c>
      <c r="Q132" s="49">
        <f t="shared" si="3"/>
        <v>2.9487179487179489</v>
      </c>
      <c r="R132" s="49">
        <f t="shared" si="4"/>
        <v>11.576923076923077</v>
      </c>
      <c r="S132" s="49"/>
      <c r="T132" s="52"/>
      <c r="U132" s="49">
        <v>5.4</v>
      </c>
      <c r="V132" s="49"/>
      <c r="W132" s="63"/>
    </row>
    <row r="133" spans="1:24" x14ac:dyDescent="0.3">
      <c r="A133" s="62" t="s">
        <v>779</v>
      </c>
      <c r="B133" s="47" t="s">
        <v>774</v>
      </c>
      <c r="C133" s="49"/>
      <c r="D133" s="50">
        <v>2009</v>
      </c>
      <c r="E133" s="49">
        <v>90.3</v>
      </c>
      <c r="F133" s="49"/>
      <c r="G133" s="49"/>
      <c r="H133" s="52"/>
      <c r="I133" s="52">
        <v>9.5</v>
      </c>
      <c r="J133" s="52"/>
      <c r="K133" s="52"/>
      <c r="L133" s="51"/>
      <c r="M133" s="49"/>
      <c r="N133" s="49"/>
      <c r="O133" s="49"/>
      <c r="P133" s="49" t="e">
        <f t="shared" si="0"/>
        <v>#DIV/0!</v>
      </c>
      <c r="Q133" s="49"/>
      <c r="R133" s="49" t="e">
        <f t="shared" si="4"/>
        <v>#DIV/0!</v>
      </c>
      <c r="S133" s="49">
        <f>E133/I133</f>
        <v>9.5052631578947366</v>
      </c>
      <c r="T133" s="52"/>
      <c r="U133" s="49"/>
      <c r="V133" s="49"/>
      <c r="W133" s="63"/>
      <c r="X133" s="3" t="s">
        <v>601</v>
      </c>
    </row>
    <row r="134" spans="1:24" ht="15" customHeight="1" x14ac:dyDescent="0.3">
      <c r="A134" s="62" t="s">
        <v>780</v>
      </c>
      <c r="B134" s="47" t="s">
        <v>769</v>
      </c>
      <c r="C134" s="49"/>
      <c r="D134" s="50">
        <v>2002</v>
      </c>
      <c r="E134" s="49">
        <v>90.2</v>
      </c>
      <c r="F134" s="49"/>
      <c r="G134" s="49"/>
      <c r="H134" s="52"/>
      <c r="I134" s="52"/>
      <c r="J134" s="52">
        <v>19</v>
      </c>
      <c r="K134" s="52">
        <v>6.97</v>
      </c>
      <c r="L134" s="51"/>
      <c r="M134" s="49"/>
      <c r="N134" s="49">
        <v>4505</v>
      </c>
      <c r="O134" s="49"/>
      <c r="P134" s="49">
        <f t="shared" si="0"/>
        <v>4.7473684210526317</v>
      </c>
      <c r="Q134" s="49">
        <f t="shared" si="3"/>
        <v>2.7259684361549499</v>
      </c>
      <c r="R134" s="49">
        <f t="shared" si="4"/>
        <v>12.941176470588236</v>
      </c>
      <c r="S134" s="49"/>
      <c r="T134" s="52"/>
      <c r="U134" s="49">
        <v>16</v>
      </c>
      <c r="V134" s="49"/>
      <c r="W134" s="63"/>
      <c r="X134" s="3" t="s">
        <v>839</v>
      </c>
    </row>
    <row r="135" spans="1:24" ht="15" customHeight="1" x14ac:dyDescent="0.3">
      <c r="A135" s="62" t="s">
        <v>781</v>
      </c>
      <c r="B135" s="47" t="s">
        <v>769</v>
      </c>
      <c r="C135" s="49"/>
      <c r="D135" s="50">
        <v>2006</v>
      </c>
      <c r="E135" s="49">
        <v>88.8</v>
      </c>
      <c r="F135" s="49"/>
      <c r="G135" s="49"/>
      <c r="H135" s="52"/>
      <c r="I135" s="52">
        <v>8.4</v>
      </c>
      <c r="J135" s="52">
        <v>19</v>
      </c>
      <c r="K135" s="52">
        <v>6.6</v>
      </c>
      <c r="L135" s="51"/>
      <c r="M135" s="49"/>
      <c r="N135" s="49">
        <v>3867</v>
      </c>
      <c r="O135" s="49"/>
      <c r="P135" s="49">
        <f t="shared" si="0"/>
        <v>4.6736842105263152</v>
      </c>
      <c r="Q135" s="49">
        <f t="shared" si="3"/>
        <v>2.8787878787878789</v>
      </c>
      <c r="R135" s="49">
        <f t="shared" si="4"/>
        <v>13.454545454545455</v>
      </c>
      <c r="S135" s="49"/>
      <c r="T135" s="52"/>
      <c r="U135" s="49">
        <v>17.399999999999999</v>
      </c>
      <c r="V135" s="49"/>
      <c r="W135" s="63"/>
      <c r="X135" s="3"/>
    </row>
    <row r="136" spans="1:24" ht="15" customHeight="1" x14ac:dyDescent="0.3">
      <c r="A136" s="62" t="s">
        <v>782</v>
      </c>
      <c r="B136" s="47" t="s">
        <v>769</v>
      </c>
      <c r="C136" s="49"/>
      <c r="D136" s="50">
        <v>2003</v>
      </c>
      <c r="E136" s="49">
        <v>88.8</v>
      </c>
      <c r="F136" s="49"/>
      <c r="G136" s="49"/>
      <c r="H136" s="52"/>
      <c r="I136" s="52">
        <v>8</v>
      </c>
      <c r="J136" s="52">
        <v>18.8</v>
      </c>
      <c r="K136" s="52"/>
      <c r="L136" s="51"/>
      <c r="M136" s="49"/>
      <c r="N136" s="49">
        <v>4276</v>
      </c>
      <c r="O136" s="49"/>
      <c r="P136" s="49">
        <f t="shared" si="0"/>
        <v>4.7234042553191484</v>
      </c>
      <c r="Q136" s="49"/>
      <c r="R136" s="49" t="e">
        <f t="shared" si="4"/>
        <v>#DIV/0!</v>
      </c>
      <c r="S136" s="49"/>
      <c r="T136" s="52"/>
      <c r="U136" s="49">
        <v>54</v>
      </c>
      <c r="V136" s="49"/>
      <c r="W136" s="63"/>
      <c r="X136" s="3"/>
    </row>
    <row r="137" spans="1:24" ht="15" customHeight="1" x14ac:dyDescent="0.3">
      <c r="A137" s="62" t="s">
        <v>783</v>
      </c>
      <c r="B137" s="47" t="s">
        <v>774</v>
      </c>
      <c r="C137" s="49"/>
      <c r="D137" s="50">
        <v>2003</v>
      </c>
      <c r="E137" s="49">
        <v>87.7</v>
      </c>
      <c r="F137" s="49"/>
      <c r="G137" s="49"/>
      <c r="H137" s="52"/>
      <c r="I137" s="52"/>
      <c r="J137" s="52">
        <v>18</v>
      </c>
      <c r="K137" s="52">
        <v>6.6</v>
      </c>
      <c r="L137" s="51"/>
      <c r="M137" s="49"/>
      <c r="N137" s="49">
        <v>3120</v>
      </c>
      <c r="O137" s="49"/>
      <c r="P137" s="49">
        <f t="shared" si="0"/>
        <v>4.8722222222222227</v>
      </c>
      <c r="Q137" s="49">
        <f t="shared" si="3"/>
        <v>2.7272727272727275</v>
      </c>
      <c r="R137" s="49">
        <f t="shared" si="4"/>
        <v>13.287878787878789</v>
      </c>
      <c r="S137" s="49"/>
      <c r="T137" s="52"/>
      <c r="U137" s="49">
        <v>25</v>
      </c>
      <c r="V137" s="49"/>
      <c r="W137" s="63"/>
      <c r="X137" s="3" t="s">
        <v>840</v>
      </c>
    </row>
    <row r="138" spans="1:24" ht="15" customHeight="1" x14ac:dyDescent="0.3">
      <c r="A138" s="62" t="s">
        <v>784</v>
      </c>
      <c r="B138" s="47" t="s">
        <v>774</v>
      </c>
      <c r="C138" s="49"/>
      <c r="D138" s="50">
        <v>2003</v>
      </c>
      <c r="E138" s="49">
        <v>87.7</v>
      </c>
      <c r="F138" s="49"/>
      <c r="G138" s="49"/>
      <c r="H138" s="52"/>
      <c r="I138" s="52">
        <v>8</v>
      </c>
      <c r="J138" s="52">
        <v>18</v>
      </c>
      <c r="K138" s="52">
        <v>6.6</v>
      </c>
      <c r="L138" s="51"/>
      <c r="M138" s="49"/>
      <c r="N138" s="49">
        <v>2851</v>
      </c>
      <c r="O138" s="49"/>
      <c r="P138" s="49">
        <f t="shared" si="0"/>
        <v>4.8722222222222227</v>
      </c>
      <c r="Q138" s="49">
        <f t="shared" si="3"/>
        <v>2.7272727272727275</v>
      </c>
      <c r="R138" s="49">
        <f t="shared" si="4"/>
        <v>13.287878787878789</v>
      </c>
      <c r="S138" s="49"/>
      <c r="T138" s="52"/>
      <c r="U138" s="49"/>
      <c r="V138" s="49"/>
      <c r="W138" s="63"/>
      <c r="X138" s="3" t="s">
        <v>841</v>
      </c>
    </row>
    <row r="139" spans="1:24" ht="15" customHeight="1" x14ac:dyDescent="0.3">
      <c r="A139" s="62" t="s">
        <v>785</v>
      </c>
      <c r="B139" s="47" t="s">
        <v>774</v>
      </c>
      <c r="C139" s="49"/>
      <c r="D139" s="50">
        <v>2007</v>
      </c>
      <c r="E139" s="49">
        <v>86.3</v>
      </c>
      <c r="F139" s="49"/>
      <c r="G139" s="49"/>
      <c r="H139" s="52"/>
      <c r="I139" s="52">
        <v>8</v>
      </c>
      <c r="J139" s="52">
        <v>18.8</v>
      </c>
      <c r="K139" s="52"/>
      <c r="L139" s="51"/>
      <c r="M139" s="49"/>
      <c r="N139" s="49">
        <v>4249</v>
      </c>
      <c r="O139" s="49"/>
      <c r="P139" s="49">
        <f t="shared" si="0"/>
        <v>4.5904255319148932</v>
      </c>
      <c r="Q139" s="49"/>
      <c r="R139" s="49" t="e">
        <f t="shared" si="4"/>
        <v>#DIV/0!</v>
      </c>
      <c r="S139" s="49"/>
      <c r="T139" s="52"/>
      <c r="U139" s="49">
        <v>13</v>
      </c>
      <c r="V139" s="49"/>
      <c r="W139" s="63"/>
      <c r="X139" s="3" t="s">
        <v>617</v>
      </c>
    </row>
    <row r="140" spans="1:24" ht="15" customHeight="1" x14ac:dyDescent="0.3">
      <c r="A140" s="62" t="s">
        <v>786</v>
      </c>
      <c r="B140" s="47" t="s">
        <v>769</v>
      </c>
      <c r="C140" s="49"/>
      <c r="D140" s="50">
        <v>2005</v>
      </c>
      <c r="E140" s="49">
        <v>86.2</v>
      </c>
      <c r="F140" s="49"/>
      <c r="G140" s="49"/>
      <c r="H140" s="52"/>
      <c r="I140" s="52"/>
      <c r="J140" s="52">
        <v>18.8</v>
      </c>
      <c r="K140" s="52"/>
      <c r="L140" s="51"/>
      <c r="M140" s="49"/>
      <c r="N140" s="49">
        <v>4249</v>
      </c>
      <c r="O140" s="49"/>
      <c r="P140" s="49">
        <f t="shared" si="0"/>
        <v>4.5851063829787231</v>
      </c>
      <c r="Q140" s="49"/>
      <c r="R140" s="49" t="e">
        <f t="shared" si="4"/>
        <v>#DIV/0!</v>
      </c>
      <c r="S140" s="49"/>
      <c r="T140" s="52"/>
      <c r="U140" s="49">
        <v>7.5</v>
      </c>
      <c r="V140" s="49"/>
      <c r="W140" s="63"/>
      <c r="X140" s="3" t="s">
        <v>617</v>
      </c>
    </row>
    <row r="141" spans="1:24" ht="15" customHeight="1" x14ac:dyDescent="0.3">
      <c r="A141" s="62" t="s">
        <v>787</v>
      </c>
      <c r="B141" s="47" t="s">
        <v>769</v>
      </c>
      <c r="C141" s="49"/>
      <c r="D141" s="50">
        <v>2005</v>
      </c>
      <c r="E141" s="49">
        <v>86.2</v>
      </c>
      <c r="F141" s="49"/>
      <c r="G141" s="49"/>
      <c r="H141" s="52"/>
      <c r="I141" s="52"/>
      <c r="J141" s="52">
        <v>18</v>
      </c>
      <c r="K141" s="52">
        <v>6.6</v>
      </c>
      <c r="L141" s="51"/>
      <c r="M141" s="49"/>
      <c r="N141" s="49">
        <v>2851</v>
      </c>
      <c r="O141" s="49">
        <v>66</v>
      </c>
      <c r="P141" s="49">
        <f t="shared" si="0"/>
        <v>4.7888888888888888</v>
      </c>
      <c r="Q141" s="49">
        <f t="shared" si="3"/>
        <v>2.7272727272727275</v>
      </c>
      <c r="R141" s="49">
        <f t="shared" si="4"/>
        <v>13.060606060606062</v>
      </c>
      <c r="S141" s="49"/>
      <c r="T141" s="52"/>
      <c r="U141" s="49">
        <v>6.7</v>
      </c>
      <c r="V141" s="49"/>
      <c r="W141" s="63">
        <f>0.514*V141/(9.81*E141)^0.5</f>
        <v>0</v>
      </c>
      <c r="X141" s="3"/>
    </row>
    <row r="142" spans="1:24" ht="15" customHeight="1" x14ac:dyDescent="0.3">
      <c r="A142" s="62" t="s">
        <v>788</v>
      </c>
      <c r="B142" s="47" t="s">
        <v>774</v>
      </c>
      <c r="C142" s="49"/>
      <c r="D142" s="50">
        <v>2006</v>
      </c>
      <c r="E142" s="49">
        <v>86.2</v>
      </c>
      <c r="F142" s="49"/>
      <c r="G142" s="49"/>
      <c r="H142" s="52"/>
      <c r="I142" s="52">
        <v>8</v>
      </c>
      <c r="J142" s="52">
        <v>18.5</v>
      </c>
      <c r="K142" s="52">
        <v>7</v>
      </c>
      <c r="L142" s="51"/>
      <c r="M142" s="49"/>
      <c r="N142" s="49">
        <v>3180</v>
      </c>
      <c r="O142" s="49"/>
      <c r="P142" s="49">
        <f t="shared" si="0"/>
        <v>4.6594594594594598</v>
      </c>
      <c r="Q142" s="49">
        <f t="shared" si="3"/>
        <v>2.6428571428571428</v>
      </c>
      <c r="R142" s="49">
        <f t="shared" si="4"/>
        <v>12.314285714285715</v>
      </c>
      <c r="S142" s="49">
        <f t="shared" ref="S142:S143" si="5">E142/I142</f>
        <v>10.775</v>
      </c>
      <c r="T142" s="52"/>
      <c r="U142" s="49">
        <v>16.399999999999999</v>
      </c>
      <c r="V142" s="49">
        <v>16</v>
      </c>
      <c r="W142" s="63">
        <f t="shared" ref="W142:W189" si="6">0.514*V142/(9.81*E142)^0.5</f>
        <v>0.28281013235378688</v>
      </c>
      <c r="X142" s="3" t="s">
        <v>626</v>
      </c>
    </row>
    <row r="143" spans="1:24" ht="15" customHeight="1" x14ac:dyDescent="0.3">
      <c r="A143" s="62" t="s">
        <v>789</v>
      </c>
      <c r="B143" s="47" t="s">
        <v>769</v>
      </c>
      <c r="C143" s="49"/>
      <c r="D143" s="50">
        <v>2005</v>
      </c>
      <c r="E143" s="49">
        <v>86.2</v>
      </c>
      <c r="F143" s="49"/>
      <c r="G143" s="49"/>
      <c r="H143" s="52"/>
      <c r="I143" s="52">
        <v>8.5</v>
      </c>
      <c r="J143" s="52"/>
      <c r="K143" s="52"/>
      <c r="L143" s="51"/>
      <c r="M143" s="49"/>
      <c r="N143" s="49"/>
      <c r="O143" s="49">
        <v>115</v>
      </c>
      <c r="P143" s="49" t="e">
        <f t="shared" si="0"/>
        <v>#DIV/0!</v>
      </c>
      <c r="Q143" s="49"/>
      <c r="R143" s="49" t="e">
        <f t="shared" si="4"/>
        <v>#DIV/0!</v>
      </c>
      <c r="S143" s="49">
        <f t="shared" si="5"/>
        <v>10.141176470588235</v>
      </c>
      <c r="T143" s="52"/>
      <c r="U143" s="49">
        <v>10</v>
      </c>
      <c r="V143" s="49"/>
      <c r="W143" s="63">
        <f t="shared" si="6"/>
        <v>0</v>
      </c>
      <c r="X143" s="3" t="s">
        <v>626</v>
      </c>
    </row>
    <row r="144" spans="1:24" ht="15" customHeight="1" x14ac:dyDescent="0.3">
      <c r="A144" s="62" t="s">
        <v>790</v>
      </c>
      <c r="B144" s="47" t="s">
        <v>774</v>
      </c>
      <c r="C144" s="49"/>
      <c r="D144" s="50">
        <v>2007</v>
      </c>
      <c r="E144" s="49">
        <v>86</v>
      </c>
      <c r="F144" s="49"/>
      <c r="G144" s="49"/>
      <c r="H144" s="52"/>
      <c r="I144" s="52"/>
      <c r="J144" s="52">
        <v>19.899999999999999</v>
      </c>
      <c r="K144" s="52">
        <v>7.3</v>
      </c>
      <c r="L144" s="51"/>
      <c r="M144" s="49"/>
      <c r="N144" s="49">
        <v>3671</v>
      </c>
      <c r="O144" s="49">
        <v>163</v>
      </c>
      <c r="P144" s="49">
        <f t="shared" si="0"/>
        <v>4.3216080402010055</v>
      </c>
      <c r="Q144" s="49">
        <f t="shared" si="3"/>
        <v>2.7260273972602738</v>
      </c>
      <c r="R144" s="49">
        <f t="shared" si="4"/>
        <v>11.78082191780822</v>
      </c>
      <c r="S144" s="49"/>
      <c r="T144" s="52"/>
      <c r="U144" s="49">
        <v>15</v>
      </c>
      <c r="V144" s="49">
        <v>15</v>
      </c>
      <c r="W144" s="63">
        <f t="shared" si="6"/>
        <v>0.26544261597713892</v>
      </c>
      <c r="X144" s="3"/>
    </row>
    <row r="145" spans="1:29" ht="15" customHeight="1" x14ac:dyDescent="0.3">
      <c r="A145" s="62" t="s">
        <v>791</v>
      </c>
      <c r="B145" s="47" t="s">
        <v>769</v>
      </c>
      <c r="C145" s="49"/>
      <c r="D145" s="50">
        <v>1996</v>
      </c>
      <c r="E145" s="49">
        <v>84.4</v>
      </c>
      <c r="F145" s="49"/>
      <c r="G145" s="49"/>
      <c r="H145" s="52"/>
      <c r="I145" s="52">
        <v>8.8000000000000007</v>
      </c>
      <c r="J145" s="52">
        <v>18.8</v>
      </c>
      <c r="K145" s="52"/>
      <c r="L145" s="51"/>
      <c r="M145" s="49"/>
      <c r="N145" s="49">
        <v>4560</v>
      </c>
      <c r="O145" s="49">
        <v>163</v>
      </c>
      <c r="P145" s="49">
        <f t="shared" si="0"/>
        <v>4.4893617021276597</v>
      </c>
      <c r="Q145" s="49"/>
      <c r="R145" s="49" t="e">
        <f t="shared" si="4"/>
        <v>#DIV/0!</v>
      </c>
      <c r="S145" s="49">
        <f>E145/I145</f>
        <v>9.5909090909090899</v>
      </c>
      <c r="T145" s="52"/>
      <c r="U145" s="49">
        <v>15</v>
      </c>
      <c r="V145" s="49">
        <v>15</v>
      </c>
      <c r="W145" s="63">
        <f t="shared" si="6"/>
        <v>0.26794684705811467</v>
      </c>
      <c r="X145" s="3"/>
    </row>
    <row r="146" spans="1:29" ht="15" customHeight="1" x14ac:dyDescent="0.3">
      <c r="A146" s="62" t="s">
        <v>792</v>
      </c>
      <c r="B146" s="47" t="s">
        <v>769</v>
      </c>
      <c r="C146" s="49"/>
      <c r="D146" s="50">
        <v>1997</v>
      </c>
      <c r="E146" s="49">
        <v>84</v>
      </c>
      <c r="F146" s="49"/>
      <c r="G146" s="49"/>
      <c r="H146" s="52"/>
      <c r="I146" s="52"/>
      <c r="J146" s="52">
        <v>18.7</v>
      </c>
      <c r="K146" s="52">
        <v>6.2</v>
      </c>
      <c r="L146" s="51"/>
      <c r="M146" s="49"/>
      <c r="N146" s="49">
        <v>4200</v>
      </c>
      <c r="O146" s="49">
        <v>150</v>
      </c>
      <c r="P146" s="49">
        <f t="shared" si="0"/>
        <v>4.4919786096256686</v>
      </c>
      <c r="Q146" s="49">
        <f t="shared" si="3"/>
        <v>3.0161290322580645</v>
      </c>
      <c r="R146" s="49">
        <f t="shared" si="4"/>
        <v>13.548387096774194</v>
      </c>
      <c r="S146" s="49" t="e">
        <f t="shared" ref="S146" si="7">H146/I146</f>
        <v>#DIV/0!</v>
      </c>
      <c r="T146" s="52"/>
      <c r="U146" s="49">
        <v>13</v>
      </c>
      <c r="V146" s="49">
        <v>15</v>
      </c>
      <c r="W146" s="63">
        <f t="shared" si="6"/>
        <v>0.26858405805799573</v>
      </c>
      <c r="X146" s="3" t="s">
        <v>842</v>
      </c>
      <c r="Z146" s="4"/>
    </row>
    <row r="147" spans="1:29" ht="15" customHeight="1" x14ac:dyDescent="0.3">
      <c r="A147" s="62" t="s">
        <v>793</v>
      </c>
      <c r="B147" s="47" t="s">
        <v>774</v>
      </c>
      <c r="C147" s="49"/>
      <c r="D147" s="50">
        <v>2000</v>
      </c>
      <c r="E147" s="49">
        <v>83.7</v>
      </c>
      <c r="F147" s="49"/>
      <c r="G147" s="49"/>
      <c r="H147" s="52"/>
      <c r="I147" s="52">
        <v>7.3</v>
      </c>
      <c r="J147" s="52"/>
      <c r="K147" s="52"/>
      <c r="L147" s="51"/>
      <c r="M147" s="49"/>
      <c r="N147" s="49"/>
      <c r="O147" s="49"/>
      <c r="P147" s="49" t="e">
        <f t="shared" si="0"/>
        <v>#DIV/0!</v>
      </c>
      <c r="Q147" s="49"/>
      <c r="R147" s="49" t="e">
        <f t="shared" si="4"/>
        <v>#DIV/0!</v>
      </c>
      <c r="S147" s="49"/>
      <c r="T147" s="52"/>
      <c r="U147" s="49">
        <v>3.8</v>
      </c>
      <c r="V147" s="49">
        <v>15</v>
      </c>
      <c r="W147" s="63">
        <f t="shared" si="6"/>
        <v>0.26906496096422855</v>
      </c>
      <c r="X147" s="3"/>
    </row>
    <row r="148" spans="1:29" ht="15" customHeight="1" x14ac:dyDescent="0.3">
      <c r="A148" s="62" t="s">
        <v>794</v>
      </c>
      <c r="B148" s="47" t="s">
        <v>769</v>
      </c>
      <c r="C148" s="49"/>
      <c r="D148" s="50">
        <v>1998</v>
      </c>
      <c r="E148" s="49">
        <v>82.8</v>
      </c>
      <c r="F148" s="49"/>
      <c r="G148" s="49"/>
      <c r="H148" s="52"/>
      <c r="I148" s="52"/>
      <c r="J148" s="52">
        <v>19</v>
      </c>
      <c r="K148" s="52">
        <v>6.31</v>
      </c>
      <c r="L148" s="51"/>
      <c r="M148" s="49"/>
      <c r="N148" s="49">
        <v>4679</v>
      </c>
      <c r="O148" s="49"/>
      <c r="P148" s="49">
        <f t="shared" si="0"/>
        <v>4.3578947368421055</v>
      </c>
      <c r="Q148" s="49">
        <f t="shared" si="3"/>
        <v>3.0110935023771792</v>
      </c>
      <c r="R148" s="49">
        <f t="shared" si="4"/>
        <v>13.12202852614897</v>
      </c>
      <c r="S148" s="49" t="e">
        <f>H148/I148</f>
        <v>#DIV/0!</v>
      </c>
      <c r="T148" s="52"/>
      <c r="U148" s="49">
        <v>10</v>
      </c>
      <c r="V148" s="49">
        <v>17.5</v>
      </c>
      <c r="W148" s="63">
        <f t="shared" si="6"/>
        <v>0.31561053803741995</v>
      </c>
      <c r="X148" s="3" t="s">
        <v>841</v>
      </c>
    </row>
    <row r="149" spans="1:29" ht="15" customHeight="1" x14ac:dyDescent="0.3">
      <c r="A149" s="62" t="s">
        <v>795</v>
      </c>
      <c r="B149" s="47" t="s">
        <v>769</v>
      </c>
      <c r="C149" s="49"/>
      <c r="D149" s="50">
        <v>1996</v>
      </c>
      <c r="E149" s="49">
        <v>82.8</v>
      </c>
      <c r="F149" s="49"/>
      <c r="G149" s="49"/>
      <c r="H149" s="52"/>
      <c r="I149" s="52">
        <v>7.61</v>
      </c>
      <c r="J149" s="52">
        <v>19</v>
      </c>
      <c r="K149" s="52">
        <v>6.32</v>
      </c>
      <c r="L149" s="51"/>
      <c r="M149" s="49"/>
      <c r="N149" s="49">
        <v>4679</v>
      </c>
      <c r="O149" s="49">
        <v>200</v>
      </c>
      <c r="P149" s="49">
        <f t="shared" si="0"/>
        <v>4.3578947368421055</v>
      </c>
      <c r="Q149" s="49">
        <f t="shared" si="3"/>
        <v>3.0063291139240507</v>
      </c>
      <c r="R149" s="49">
        <f t="shared" si="4"/>
        <v>13.101265822784809</v>
      </c>
      <c r="S149" s="49">
        <f t="shared" ref="S149:S151" si="8">E149/I149</f>
        <v>10.88042049934297</v>
      </c>
      <c r="T149" s="52"/>
      <c r="U149" s="49">
        <v>13.4</v>
      </c>
      <c r="V149" s="49">
        <v>16</v>
      </c>
      <c r="W149" s="63">
        <f t="shared" si="6"/>
        <v>0.28855820620564104</v>
      </c>
      <c r="X149" s="3"/>
    </row>
    <row r="150" spans="1:29" ht="15" customHeight="1" x14ac:dyDescent="0.3">
      <c r="A150" s="62" t="s">
        <v>796</v>
      </c>
      <c r="B150" s="47" t="s">
        <v>769</v>
      </c>
      <c r="C150" s="49"/>
      <c r="D150" s="50">
        <v>1999</v>
      </c>
      <c r="E150" s="49">
        <v>82.8</v>
      </c>
      <c r="F150" s="49"/>
      <c r="G150" s="49"/>
      <c r="H150" s="52"/>
      <c r="I150" s="52">
        <v>7.6</v>
      </c>
      <c r="J150" s="52">
        <v>19</v>
      </c>
      <c r="K150" s="52">
        <v>6.31</v>
      </c>
      <c r="L150" s="51"/>
      <c r="M150" s="49"/>
      <c r="N150" s="49">
        <v>4679</v>
      </c>
      <c r="O150" s="49">
        <v>200</v>
      </c>
      <c r="P150" s="49">
        <f t="shared" si="0"/>
        <v>4.3578947368421055</v>
      </c>
      <c r="Q150" s="49">
        <f t="shared" si="3"/>
        <v>3.0110935023771792</v>
      </c>
      <c r="R150" s="49">
        <f t="shared" si="4"/>
        <v>13.12202852614897</v>
      </c>
      <c r="S150" s="49">
        <f t="shared" si="8"/>
        <v>10.894736842105264</v>
      </c>
      <c r="T150" s="52"/>
      <c r="U150" s="49">
        <v>13.4</v>
      </c>
      <c r="V150" s="49">
        <v>16</v>
      </c>
      <c r="W150" s="63">
        <f t="shared" si="6"/>
        <v>0.28855820620564104</v>
      </c>
      <c r="X150" s="3"/>
    </row>
    <row r="151" spans="1:29" ht="15" customHeight="1" x14ac:dyDescent="0.3">
      <c r="A151" s="62" t="s">
        <v>797</v>
      </c>
      <c r="B151" s="47" t="s">
        <v>769</v>
      </c>
      <c r="C151" s="49"/>
      <c r="D151" s="50">
        <v>1994</v>
      </c>
      <c r="E151" s="49">
        <v>82.45</v>
      </c>
      <c r="F151" s="49"/>
      <c r="G151" s="49"/>
      <c r="H151" s="52"/>
      <c r="I151" s="52">
        <v>7.6</v>
      </c>
      <c r="J151" s="52"/>
      <c r="K151" s="52"/>
      <c r="L151" s="51"/>
      <c r="M151" s="49"/>
      <c r="N151" s="49"/>
      <c r="O151" s="49">
        <v>200</v>
      </c>
      <c r="P151" s="49" t="e">
        <f t="shared" si="0"/>
        <v>#DIV/0!</v>
      </c>
      <c r="Q151" s="49"/>
      <c r="R151" s="49"/>
      <c r="S151" s="49">
        <f t="shared" si="8"/>
        <v>10.848684210526317</v>
      </c>
      <c r="T151" s="52"/>
      <c r="U151" s="49">
        <v>13.4</v>
      </c>
      <c r="V151" s="49">
        <v>16</v>
      </c>
      <c r="W151" s="63">
        <f t="shared" si="6"/>
        <v>0.28917002195943187</v>
      </c>
      <c r="X151" s="3"/>
    </row>
    <row r="152" spans="1:29" ht="15" customHeight="1" x14ac:dyDescent="0.3">
      <c r="A152" s="62" t="s">
        <v>799</v>
      </c>
      <c r="B152" s="47" t="s">
        <v>774</v>
      </c>
      <c r="C152" s="49"/>
      <c r="D152" s="50">
        <v>2003</v>
      </c>
      <c r="E152" s="49">
        <v>82.1</v>
      </c>
      <c r="F152" s="49"/>
      <c r="G152" s="49"/>
      <c r="H152" s="52"/>
      <c r="I152" s="52"/>
      <c r="J152" s="52">
        <v>20</v>
      </c>
      <c r="K152" s="52"/>
      <c r="L152" s="51"/>
      <c r="M152" s="49"/>
      <c r="N152" s="49">
        <v>3694</v>
      </c>
      <c r="O152" s="49">
        <v>204</v>
      </c>
      <c r="P152" s="49">
        <f t="shared" si="0"/>
        <v>4.1049999999999995</v>
      </c>
      <c r="Q152" s="49"/>
      <c r="R152" s="49"/>
      <c r="S152" s="49"/>
      <c r="T152" s="52"/>
      <c r="U152" s="49">
        <v>22.4</v>
      </c>
      <c r="V152" s="49">
        <v>17</v>
      </c>
      <c r="W152" s="63">
        <f t="shared" si="6"/>
        <v>0.30789735501583909</v>
      </c>
      <c r="X152" s="3"/>
    </row>
    <row r="153" spans="1:29" ht="15" customHeight="1" x14ac:dyDescent="0.3">
      <c r="A153" s="62" t="s">
        <v>800</v>
      </c>
      <c r="B153" s="47" t="s">
        <v>774</v>
      </c>
      <c r="C153" s="49"/>
      <c r="D153" s="50">
        <v>2002</v>
      </c>
      <c r="E153" s="49">
        <v>82.1</v>
      </c>
      <c r="F153" s="49"/>
      <c r="G153" s="49"/>
      <c r="H153" s="52"/>
      <c r="I153" s="52"/>
      <c r="J153" s="52">
        <v>20</v>
      </c>
      <c r="K153" s="52"/>
      <c r="L153" s="51"/>
      <c r="M153" s="49"/>
      <c r="N153" s="49">
        <v>3694</v>
      </c>
      <c r="O153" s="49">
        <v>117</v>
      </c>
      <c r="P153" s="49">
        <f t="shared" si="0"/>
        <v>4.1049999999999995</v>
      </c>
      <c r="Q153" s="49"/>
      <c r="R153" s="49"/>
      <c r="S153" s="49"/>
      <c r="T153" s="52"/>
      <c r="U153" s="49">
        <v>10</v>
      </c>
      <c r="V153" s="49">
        <v>16.5</v>
      </c>
      <c r="W153" s="63">
        <f t="shared" si="6"/>
        <v>0.29884155045654975</v>
      </c>
      <c r="X153" s="3" t="s">
        <v>841</v>
      </c>
    </row>
    <row r="154" spans="1:29" ht="15" customHeight="1" x14ac:dyDescent="0.3">
      <c r="A154" s="62" t="s">
        <v>801</v>
      </c>
      <c r="B154" s="47" t="s">
        <v>774</v>
      </c>
      <c r="C154" s="49"/>
      <c r="D154" s="50">
        <v>2002</v>
      </c>
      <c r="E154" s="49">
        <v>82.1</v>
      </c>
      <c r="F154" s="49"/>
      <c r="G154" s="49"/>
      <c r="H154" s="52"/>
      <c r="I154" s="52"/>
      <c r="J154" s="52">
        <v>20</v>
      </c>
      <c r="K154" s="52"/>
      <c r="L154" s="51"/>
      <c r="M154" s="49"/>
      <c r="N154" s="49">
        <v>3620</v>
      </c>
      <c r="O154" s="49">
        <v>115</v>
      </c>
      <c r="P154" s="49">
        <f t="shared" si="0"/>
        <v>4.1049999999999995</v>
      </c>
      <c r="Q154" s="49"/>
      <c r="R154" s="49"/>
      <c r="S154" s="49"/>
      <c r="T154" s="52"/>
      <c r="U154" s="49">
        <v>5.8</v>
      </c>
      <c r="V154" s="49"/>
      <c r="W154" s="63">
        <f t="shared" si="6"/>
        <v>0</v>
      </c>
      <c r="X154" s="3" t="s">
        <v>626</v>
      </c>
    </row>
    <row r="155" spans="1:29" ht="15" customHeight="1" x14ac:dyDescent="0.3">
      <c r="A155" s="62" t="s">
        <v>802</v>
      </c>
      <c r="B155" s="47" t="s">
        <v>769</v>
      </c>
      <c r="C155" s="49"/>
      <c r="D155" s="50">
        <v>1976</v>
      </c>
      <c r="E155" s="49">
        <v>81.099999999999994</v>
      </c>
      <c r="F155" s="49"/>
      <c r="G155" s="49"/>
      <c r="H155" s="52"/>
      <c r="I155" s="52">
        <v>9.5</v>
      </c>
      <c r="J155" s="52">
        <v>18.04</v>
      </c>
      <c r="K155" s="52">
        <v>4.97</v>
      </c>
      <c r="L155" s="51"/>
      <c r="M155" s="49"/>
      <c r="N155" s="49"/>
      <c r="O155" s="49">
        <v>181</v>
      </c>
      <c r="P155" s="49">
        <f t="shared" si="0"/>
        <v>4.4955654101995561</v>
      </c>
      <c r="Q155" s="49"/>
      <c r="R155" s="49">
        <f t="shared" si="4"/>
        <v>16.317907444668009</v>
      </c>
      <c r="S155" s="49">
        <f t="shared" ref="S155:S156" si="9">E155/I155</f>
        <v>8.5368421052631565</v>
      </c>
      <c r="T155" s="52"/>
      <c r="U155" s="49">
        <v>16.2</v>
      </c>
      <c r="V155" s="49">
        <v>19</v>
      </c>
      <c r="W155" s="63">
        <f t="shared" si="6"/>
        <v>0.34623565508027671</v>
      </c>
      <c r="X155" s="3" t="s">
        <v>843</v>
      </c>
    </row>
    <row r="156" spans="1:29" ht="15" customHeight="1" x14ac:dyDescent="0.3">
      <c r="A156" s="62" t="s">
        <v>804</v>
      </c>
      <c r="B156" s="47" t="s">
        <v>774</v>
      </c>
      <c r="C156" s="49"/>
      <c r="D156" s="50">
        <v>1997</v>
      </c>
      <c r="E156" s="49">
        <v>80.400000000000006</v>
      </c>
      <c r="F156" s="49"/>
      <c r="G156" s="49"/>
      <c r="H156" s="52"/>
      <c r="I156" s="52">
        <v>7.12</v>
      </c>
      <c r="J156" s="52">
        <v>18</v>
      </c>
      <c r="K156" s="52"/>
      <c r="L156" s="51"/>
      <c r="M156" s="49"/>
      <c r="N156" s="49">
        <v>4200</v>
      </c>
      <c r="O156" s="49">
        <v>234</v>
      </c>
      <c r="P156" s="49">
        <f t="shared" si="0"/>
        <v>4.4666666666666668</v>
      </c>
      <c r="Q156" s="49"/>
      <c r="R156" s="49"/>
      <c r="S156" s="49">
        <f t="shared" si="9"/>
        <v>11.292134831460675</v>
      </c>
      <c r="T156" s="52"/>
      <c r="U156" s="49">
        <v>15</v>
      </c>
      <c r="V156" s="49">
        <v>16.5</v>
      </c>
      <c r="W156" s="63">
        <f t="shared" si="6"/>
        <v>0.30198441844190738</v>
      </c>
      <c r="X156" s="3" t="s">
        <v>841</v>
      </c>
    </row>
    <row r="157" spans="1:29" ht="15" customHeight="1" x14ac:dyDescent="0.3">
      <c r="A157" s="62" t="s">
        <v>805</v>
      </c>
      <c r="B157" s="47" t="s">
        <v>774</v>
      </c>
      <c r="C157" s="49"/>
      <c r="D157" s="50">
        <v>2001</v>
      </c>
      <c r="E157" s="49">
        <v>80</v>
      </c>
      <c r="F157" s="49"/>
      <c r="G157" s="49"/>
      <c r="H157" s="52"/>
      <c r="I157" s="52"/>
      <c r="J157" s="52">
        <v>18</v>
      </c>
      <c r="K157" s="52">
        <v>6.6</v>
      </c>
      <c r="L157" s="51"/>
      <c r="M157" s="49"/>
      <c r="N157" s="49">
        <v>2851</v>
      </c>
      <c r="O157" s="49">
        <v>234</v>
      </c>
      <c r="P157" s="49">
        <f t="shared" si="0"/>
        <v>4.4444444444444446</v>
      </c>
      <c r="Q157" s="49">
        <f t="shared" si="3"/>
        <v>2.7272727272727275</v>
      </c>
      <c r="R157" s="49">
        <f t="shared" si="4"/>
        <v>12.121212121212121</v>
      </c>
      <c r="S157" s="49"/>
      <c r="T157" s="52"/>
      <c r="U157" s="49">
        <v>15</v>
      </c>
      <c r="V157" s="49">
        <v>16.5</v>
      </c>
      <c r="W157" s="63">
        <f t="shared" si="6"/>
        <v>0.30273843813861084</v>
      </c>
      <c r="X157" s="3" t="s">
        <v>626</v>
      </c>
    </row>
    <row r="158" spans="1:29" s="4" customFormat="1" ht="15" customHeight="1" x14ac:dyDescent="0.3">
      <c r="A158" s="62" t="s">
        <v>806</v>
      </c>
      <c r="B158" s="47" t="s">
        <v>771</v>
      </c>
      <c r="C158" s="49"/>
      <c r="D158" s="50">
        <v>1984</v>
      </c>
      <c r="E158" s="49">
        <v>75</v>
      </c>
      <c r="F158" s="49"/>
      <c r="G158" s="49"/>
      <c r="H158" s="52"/>
      <c r="I158" s="52">
        <v>8</v>
      </c>
      <c r="J158" s="52">
        <v>16</v>
      </c>
      <c r="K158" s="52">
        <v>6.25</v>
      </c>
      <c r="L158" s="51"/>
      <c r="M158" s="49"/>
      <c r="N158" s="49"/>
      <c r="O158" s="49"/>
      <c r="P158" s="49">
        <f t="shared" si="0"/>
        <v>4.6875</v>
      </c>
      <c r="Q158" s="49">
        <f t="shared" si="3"/>
        <v>2.56</v>
      </c>
      <c r="R158" s="49">
        <f t="shared" si="4"/>
        <v>12</v>
      </c>
      <c r="S158" s="49">
        <f t="shared" ref="S158:S162" si="10">E158/I158</f>
        <v>9.375</v>
      </c>
      <c r="T158" s="52"/>
      <c r="U158" s="49">
        <v>9.9</v>
      </c>
      <c r="V158" s="49">
        <v>16.5</v>
      </c>
      <c r="W158" s="63">
        <f t="shared" si="6"/>
        <v>0.31266691444471573</v>
      </c>
      <c r="X158" s="3"/>
      <c r="Y158"/>
      <c r="Z158"/>
      <c r="AC158" s="5"/>
    </row>
    <row r="159" spans="1:29" ht="15" customHeight="1" x14ac:dyDescent="0.3">
      <c r="A159" s="62" t="s">
        <v>807</v>
      </c>
      <c r="B159" s="47" t="s">
        <v>769</v>
      </c>
      <c r="C159" s="49"/>
      <c r="D159" s="50">
        <v>2009</v>
      </c>
      <c r="E159" s="49">
        <v>74.8</v>
      </c>
      <c r="F159" s="49"/>
      <c r="G159" s="49"/>
      <c r="H159" s="52"/>
      <c r="I159" s="52">
        <v>7.4</v>
      </c>
      <c r="J159" s="52">
        <v>16.399999999999999</v>
      </c>
      <c r="K159" s="52">
        <v>6.22</v>
      </c>
      <c r="L159" s="51"/>
      <c r="M159" s="49"/>
      <c r="N159" s="49">
        <v>3250</v>
      </c>
      <c r="O159" s="49">
        <v>74</v>
      </c>
      <c r="P159" s="49">
        <f t="shared" si="0"/>
        <v>4.5609756097560981</v>
      </c>
      <c r="Q159" s="49">
        <f t="shared" si="3"/>
        <v>2.6366559485530545</v>
      </c>
      <c r="R159" s="49">
        <f t="shared" si="4"/>
        <v>12.02572347266881</v>
      </c>
      <c r="S159" s="49">
        <f t="shared" si="10"/>
        <v>10.108108108108107</v>
      </c>
      <c r="T159" s="52"/>
      <c r="U159" s="49">
        <v>6.3</v>
      </c>
      <c r="V159" s="49">
        <v>12</v>
      </c>
      <c r="W159" s="63">
        <f t="shared" si="6"/>
        <v>0.22769791949060988</v>
      </c>
      <c r="X159" s="3" t="s">
        <v>617</v>
      </c>
    </row>
    <row r="160" spans="1:29" ht="15" customHeight="1" x14ac:dyDescent="0.3">
      <c r="A160" s="62" t="s">
        <v>808</v>
      </c>
      <c r="B160" s="47" t="s">
        <v>774</v>
      </c>
      <c r="C160" s="49"/>
      <c r="D160" s="50">
        <v>2008</v>
      </c>
      <c r="E160" s="49">
        <v>74.5</v>
      </c>
      <c r="F160" s="49"/>
      <c r="G160" s="49"/>
      <c r="H160" s="52"/>
      <c r="I160" s="52">
        <v>7.45</v>
      </c>
      <c r="J160" s="52">
        <v>17.2</v>
      </c>
      <c r="K160" s="52">
        <v>6.8</v>
      </c>
      <c r="L160" s="51"/>
      <c r="M160" s="49"/>
      <c r="N160" s="49">
        <v>3000</v>
      </c>
      <c r="O160" s="49"/>
      <c r="P160" s="49">
        <f t="shared" si="0"/>
        <v>4.3313953488372094</v>
      </c>
      <c r="Q160" s="49">
        <f t="shared" si="3"/>
        <v>2.5294117647058822</v>
      </c>
      <c r="R160" s="49">
        <f t="shared" si="4"/>
        <v>10.955882352941178</v>
      </c>
      <c r="S160" s="49">
        <f t="shared" si="10"/>
        <v>10</v>
      </c>
      <c r="T160" s="52"/>
      <c r="U160" s="49">
        <v>36.799999999999997</v>
      </c>
      <c r="V160" s="49">
        <v>20</v>
      </c>
      <c r="W160" s="63">
        <f t="shared" si="6"/>
        <v>0.38025985179229582</v>
      </c>
      <c r="X160" s="3" t="s">
        <v>844</v>
      </c>
    </row>
    <row r="161" spans="1:26" ht="15" customHeight="1" x14ac:dyDescent="0.3">
      <c r="A161" s="62" t="s">
        <v>809</v>
      </c>
      <c r="B161" s="47" t="s">
        <v>774</v>
      </c>
      <c r="C161" s="49"/>
      <c r="D161" s="50">
        <v>2000</v>
      </c>
      <c r="E161" s="49">
        <v>73.900000000000006</v>
      </c>
      <c r="F161" s="49"/>
      <c r="G161" s="49"/>
      <c r="H161" s="52"/>
      <c r="I161" s="52">
        <v>8</v>
      </c>
      <c r="J161" s="52">
        <v>16</v>
      </c>
      <c r="K161" s="52">
        <v>6.5</v>
      </c>
      <c r="L161" s="51"/>
      <c r="M161" s="49"/>
      <c r="N161" s="49">
        <v>2881</v>
      </c>
      <c r="O161" s="49"/>
      <c r="P161" s="49">
        <f t="shared" si="0"/>
        <v>4.6187500000000004</v>
      </c>
      <c r="Q161" s="49">
        <f t="shared" si="3"/>
        <v>2.4615384615384617</v>
      </c>
      <c r="R161" s="49">
        <f t="shared" si="4"/>
        <v>11.36923076923077</v>
      </c>
      <c r="S161" s="49">
        <f t="shared" si="10"/>
        <v>9.2375000000000007</v>
      </c>
      <c r="T161" s="52"/>
      <c r="U161" s="49">
        <v>10</v>
      </c>
      <c r="V161" s="49">
        <v>13</v>
      </c>
      <c r="W161" s="63">
        <f t="shared" si="6"/>
        <v>0.2481702672672709</v>
      </c>
      <c r="X161" s="3" t="s">
        <v>845</v>
      </c>
    </row>
    <row r="162" spans="1:26" ht="15" customHeight="1" x14ac:dyDescent="0.3">
      <c r="A162" s="62" t="s">
        <v>810</v>
      </c>
      <c r="B162" s="47" t="s">
        <v>774</v>
      </c>
      <c r="C162" s="49"/>
      <c r="D162" s="50">
        <v>2003</v>
      </c>
      <c r="E162" s="49">
        <v>73.8</v>
      </c>
      <c r="F162" s="49"/>
      <c r="G162" s="49"/>
      <c r="H162" s="52"/>
      <c r="I162" s="52">
        <v>7.6</v>
      </c>
      <c r="J162" s="52"/>
      <c r="K162" s="52"/>
      <c r="L162" s="51"/>
      <c r="M162" s="49"/>
      <c r="N162" s="49"/>
      <c r="O162" s="49">
        <v>240</v>
      </c>
      <c r="P162" s="49" t="e">
        <f t="shared" si="0"/>
        <v>#DIV/0!</v>
      </c>
      <c r="Q162" s="49" t="e">
        <f t="shared" si="3"/>
        <v>#DIV/0!</v>
      </c>
      <c r="R162" s="49"/>
      <c r="S162" s="49">
        <f t="shared" si="10"/>
        <v>9.7105263157894743</v>
      </c>
      <c r="T162" s="52"/>
      <c r="U162" s="49">
        <v>17.7</v>
      </c>
      <c r="V162" s="49">
        <v>16</v>
      </c>
      <c r="W162" s="63">
        <f t="shared" si="6"/>
        <v>0.30564719678311375</v>
      </c>
      <c r="X162" s="3"/>
    </row>
    <row r="163" spans="1:26" ht="15" customHeight="1" x14ac:dyDescent="0.3">
      <c r="A163" s="62" t="s">
        <v>811</v>
      </c>
      <c r="B163" s="47" t="s">
        <v>774</v>
      </c>
      <c r="C163" s="49"/>
      <c r="D163" s="50">
        <v>1992</v>
      </c>
      <c r="E163" s="49">
        <v>73.599999999999994</v>
      </c>
      <c r="F163" s="49"/>
      <c r="G163" s="49"/>
      <c r="H163" s="52"/>
      <c r="I163" s="52"/>
      <c r="J163" s="52">
        <v>16.399999999999999</v>
      </c>
      <c r="K163" s="52">
        <v>6.85</v>
      </c>
      <c r="L163" s="51"/>
      <c r="M163" s="49"/>
      <c r="N163" s="49">
        <v>2783</v>
      </c>
      <c r="O163" s="49">
        <v>140</v>
      </c>
      <c r="P163" s="49">
        <f t="shared" si="0"/>
        <v>4.4878048780487809</v>
      </c>
      <c r="Q163" s="49">
        <f t="shared" si="3"/>
        <v>2.3941605839416056</v>
      </c>
      <c r="R163" s="49">
        <f t="shared" si="4"/>
        <v>10.744525547445255</v>
      </c>
      <c r="S163" s="49"/>
      <c r="T163" s="52"/>
      <c r="U163" s="49">
        <v>13.9</v>
      </c>
      <c r="V163" s="49">
        <v>16</v>
      </c>
      <c r="W163" s="63">
        <f t="shared" si="6"/>
        <v>0.30606219656255235</v>
      </c>
      <c r="X163" s="3" t="s">
        <v>846</v>
      </c>
    </row>
    <row r="164" spans="1:26" ht="15" customHeight="1" x14ac:dyDescent="0.3">
      <c r="A164" s="62" t="s">
        <v>812</v>
      </c>
      <c r="B164" s="47" t="s">
        <v>769</v>
      </c>
      <c r="C164" s="49"/>
      <c r="D164" s="50">
        <v>2008</v>
      </c>
      <c r="E164" s="49">
        <v>73.400000000000006</v>
      </c>
      <c r="F164" s="49"/>
      <c r="G164" s="49"/>
      <c r="H164" s="52"/>
      <c r="I164" s="52">
        <v>8</v>
      </c>
      <c r="J164" s="52"/>
      <c r="K164" s="52"/>
      <c r="L164" s="51"/>
      <c r="M164" s="49"/>
      <c r="N164" s="49"/>
      <c r="O164" s="49">
        <v>115</v>
      </c>
      <c r="P164" s="49" t="e">
        <f t="shared" si="0"/>
        <v>#DIV/0!</v>
      </c>
      <c r="Q164" s="49" t="e">
        <f t="shared" si="3"/>
        <v>#DIV/0!</v>
      </c>
      <c r="R164" s="49"/>
      <c r="S164" s="49"/>
      <c r="T164" s="52"/>
      <c r="U164" s="49">
        <v>12</v>
      </c>
      <c r="V164" s="49">
        <v>16</v>
      </c>
      <c r="W164" s="63">
        <f t="shared" si="6"/>
        <v>0.30647889137302958</v>
      </c>
      <c r="X164" s="3" t="s">
        <v>847</v>
      </c>
    </row>
    <row r="165" spans="1:26" ht="15" customHeight="1" x14ac:dyDescent="0.3">
      <c r="A165" s="62" t="s">
        <v>813</v>
      </c>
      <c r="B165" s="47" t="s">
        <v>769</v>
      </c>
      <c r="C165" s="49"/>
      <c r="D165" s="50">
        <v>2005</v>
      </c>
      <c r="E165" s="49">
        <v>73.400000000000006</v>
      </c>
      <c r="F165" s="49"/>
      <c r="G165" s="49"/>
      <c r="H165" s="52"/>
      <c r="I165" s="52"/>
      <c r="J165" s="52">
        <v>16.600000000000001</v>
      </c>
      <c r="K165" s="52">
        <v>7.6</v>
      </c>
      <c r="L165" s="51"/>
      <c r="M165" s="49"/>
      <c r="N165" s="49">
        <v>3500</v>
      </c>
      <c r="O165" s="49">
        <v>160</v>
      </c>
      <c r="P165" s="49">
        <f t="shared" si="0"/>
        <v>4.4216867469879517</v>
      </c>
      <c r="Q165" s="49">
        <f t="shared" si="3"/>
        <v>2.1842105263157898</v>
      </c>
      <c r="R165" s="49">
        <f t="shared" si="4"/>
        <v>9.6578947368421062</v>
      </c>
      <c r="S165" s="49"/>
      <c r="T165" s="52"/>
      <c r="U165" s="49">
        <v>15</v>
      </c>
      <c r="V165" s="49">
        <v>18.5</v>
      </c>
      <c r="W165" s="63">
        <f t="shared" si="6"/>
        <v>0.35436621815006542</v>
      </c>
      <c r="X165" s="3" t="s">
        <v>848</v>
      </c>
    </row>
    <row r="166" spans="1:26" ht="15" customHeight="1" x14ac:dyDescent="0.3">
      <c r="A166" s="62" t="s">
        <v>814</v>
      </c>
      <c r="B166" s="47" t="s">
        <v>769</v>
      </c>
      <c r="C166" s="49"/>
      <c r="D166" s="50">
        <v>2006</v>
      </c>
      <c r="E166" s="49">
        <v>73.400000000000006</v>
      </c>
      <c r="F166" s="49"/>
      <c r="G166" s="49"/>
      <c r="H166" s="52"/>
      <c r="I166" s="52">
        <v>16.600000000000001</v>
      </c>
      <c r="J166" s="52">
        <v>16.600000000000001</v>
      </c>
      <c r="K166" s="52">
        <v>7.6</v>
      </c>
      <c r="L166" s="51"/>
      <c r="M166" s="49"/>
      <c r="N166" s="49">
        <v>3550</v>
      </c>
      <c r="O166" s="49">
        <v>160</v>
      </c>
      <c r="P166" s="49">
        <f t="shared" si="0"/>
        <v>4.4216867469879517</v>
      </c>
      <c r="Q166" s="49">
        <f t="shared" si="3"/>
        <v>2.1842105263157898</v>
      </c>
      <c r="R166" s="49">
        <f t="shared" si="4"/>
        <v>9.6578947368421062</v>
      </c>
      <c r="S166" s="49">
        <f>E166/I166</f>
        <v>4.4216867469879517</v>
      </c>
      <c r="T166" s="52"/>
      <c r="U166" s="49">
        <v>15</v>
      </c>
      <c r="V166" s="49">
        <v>18.5</v>
      </c>
      <c r="W166" s="63">
        <f t="shared" si="6"/>
        <v>0.35436621815006542</v>
      </c>
      <c r="X166" s="3" t="s">
        <v>849</v>
      </c>
    </row>
    <row r="167" spans="1:26" ht="15" customHeight="1" x14ac:dyDescent="0.3">
      <c r="A167" s="62" t="s">
        <v>815</v>
      </c>
      <c r="B167" s="47" t="s">
        <v>769</v>
      </c>
      <c r="C167" s="49"/>
      <c r="D167" s="50">
        <v>2005</v>
      </c>
      <c r="E167" s="49">
        <v>73.400000000000006</v>
      </c>
      <c r="F167" s="49"/>
      <c r="G167" s="49"/>
      <c r="H167" s="52"/>
      <c r="I167" s="52">
        <v>16.600000000000001</v>
      </c>
      <c r="J167" s="52">
        <v>16.600000000000001</v>
      </c>
      <c r="K167" s="52">
        <v>7.6</v>
      </c>
      <c r="L167" s="51"/>
      <c r="M167" s="49"/>
      <c r="N167" s="49">
        <v>3500</v>
      </c>
      <c r="O167" s="49">
        <v>81</v>
      </c>
      <c r="P167" s="49">
        <f t="shared" si="0"/>
        <v>4.4216867469879517</v>
      </c>
      <c r="Q167" s="49">
        <f t="shared" si="3"/>
        <v>2.1842105263157898</v>
      </c>
      <c r="R167" s="49">
        <f t="shared" si="4"/>
        <v>9.6578947368421062</v>
      </c>
      <c r="S167" s="49"/>
      <c r="T167" s="52"/>
      <c r="U167" s="49">
        <v>5.3</v>
      </c>
      <c r="V167" s="49"/>
      <c r="W167" s="63">
        <f t="shared" si="6"/>
        <v>0</v>
      </c>
      <c r="X167" s="3" t="s">
        <v>846</v>
      </c>
    </row>
    <row r="168" spans="1:26" ht="15" customHeight="1" x14ac:dyDescent="0.3">
      <c r="A168" s="62" t="s">
        <v>816</v>
      </c>
      <c r="B168" s="47" t="s">
        <v>771</v>
      </c>
      <c r="C168" s="49"/>
      <c r="D168" s="50">
        <v>2004</v>
      </c>
      <c r="E168" s="49">
        <v>73.3</v>
      </c>
      <c r="F168" s="49"/>
      <c r="G168" s="49"/>
      <c r="H168" s="52"/>
      <c r="I168" s="52">
        <v>16.600000000000001</v>
      </c>
      <c r="J168" s="52">
        <v>16</v>
      </c>
      <c r="K168" s="52">
        <v>7.5</v>
      </c>
      <c r="L168" s="51"/>
      <c r="M168" s="49"/>
      <c r="N168" s="49"/>
      <c r="O168" s="49">
        <v>125</v>
      </c>
      <c r="P168" s="49">
        <f t="shared" si="0"/>
        <v>4.5812499999999998</v>
      </c>
      <c r="Q168" s="49">
        <f t="shared" si="3"/>
        <v>2.1333333333333333</v>
      </c>
      <c r="R168" s="49">
        <f t="shared" si="4"/>
        <v>9.7733333333333334</v>
      </c>
      <c r="S168" s="49"/>
      <c r="T168" s="52"/>
      <c r="U168" s="49">
        <v>9</v>
      </c>
      <c r="V168" s="49">
        <v>7</v>
      </c>
      <c r="W168" s="63">
        <f t="shared" si="6"/>
        <v>0.13417594663649629</v>
      </c>
      <c r="X168" s="3" t="s">
        <v>850</v>
      </c>
    </row>
    <row r="169" spans="1:26" ht="15" customHeight="1" x14ac:dyDescent="0.3">
      <c r="A169" s="62" t="s">
        <v>817</v>
      </c>
      <c r="B169" s="47" t="s">
        <v>774</v>
      </c>
      <c r="C169" s="49"/>
      <c r="D169" s="50">
        <v>2009</v>
      </c>
      <c r="E169" s="49">
        <v>73.2</v>
      </c>
      <c r="F169" s="49"/>
      <c r="G169" s="49"/>
      <c r="H169" s="52"/>
      <c r="I169" s="52">
        <v>16</v>
      </c>
      <c r="J169" s="52">
        <v>20</v>
      </c>
      <c r="K169" s="52">
        <v>8.4</v>
      </c>
      <c r="L169" s="51"/>
      <c r="M169" s="49"/>
      <c r="N169" s="49">
        <v>3500</v>
      </c>
      <c r="O169" s="49">
        <v>87</v>
      </c>
      <c r="P169" s="49">
        <f t="shared" si="0"/>
        <v>3.66</v>
      </c>
      <c r="Q169" s="49">
        <f t="shared" si="3"/>
        <v>2.3809523809523809</v>
      </c>
      <c r="R169" s="49">
        <f t="shared" si="4"/>
        <v>8.7142857142857135</v>
      </c>
      <c r="S169" s="49">
        <f>E169/I169</f>
        <v>4.5750000000000002</v>
      </c>
      <c r="T169" s="52"/>
      <c r="U169" s="49">
        <v>7</v>
      </c>
      <c r="V169" s="49">
        <v>16.5</v>
      </c>
      <c r="W169" s="63">
        <f t="shared" si="6"/>
        <v>0.31648783318425872</v>
      </c>
      <c r="X169" s="3"/>
    </row>
    <row r="170" spans="1:26" ht="15" customHeight="1" x14ac:dyDescent="0.3">
      <c r="A170" s="62" t="s">
        <v>818</v>
      </c>
      <c r="B170" s="47" t="s">
        <v>769</v>
      </c>
      <c r="C170" s="49"/>
      <c r="D170" s="50">
        <v>2004</v>
      </c>
      <c r="E170" s="49">
        <v>72</v>
      </c>
      <c r="F170" s="49"/>
      <c r="G170" s="49"/>
      <c r="H170" s="52"/>
      <c r="I170" s="52">
        <v>20</v>
      </c>
      <c r="J170" s="52">
        <v>16</v>
      </c>
      <c r="K170" s="52">
        <v>7</v>
      </c>
      <c r="L170" s="51"/>
      <c r="M170" s="49"/>
      <c r="N170" s="49">
        <v>3300</v>
      </c>
      <c r="O170" s="49">
        <v>190</v>
      </c>
      <c r="P170" s="49">
        <f t="shared" si="0"/>
        <v>4.5</v>
      </c>
      <c r="Q170" s="49">
        <f t="shared" si="3"/>
        <v>2.2857142857142856</v>
      </c>
      <c r="R170" s="49">
        <f t="shared" si="4"/>
        <v>10.285714285714286</v>
      </c>
      <c r="S170" s="49"/>
      <c r="T170" s="52"/>
      <c r="U170" s="49">
        <v>17.7</v>
      </c>
      <c r="V170" s="49">
        <v>16</v>
      </c>
      <c r="W170" s="63">
        <f t="shared" si="6"/>
        <v>0.30944420195555422</v>
      </c>
      <c r="X170" s="3" t="s">
        <v>851</v>
      </c>
    </row>
    <row r="171" spans="1:26" ht="15" customHeight="1" x14ac:dyDescent="0.3">
      <c r="A171" s="62" t="s">
        <v>819</v>
      </c>
      <c r="B171" s="47" t="s">
        <v>771</v>
      </c>
      <c r="C171" s="49"/>
      <c r="D171" s="50">
        <v>2002</v>
      </c>
      <c r="E171" s="49">
        <v>70.400000000000006</v>
      </c>
      <c r="F171" s="49"/>
      <c r="G171" s="49"/>
      <c r="H171" s="52"/>
      <c r="I171" s="52">
        <v>16</v>
      </c>
      <c r="J171" s="52">
        <v>16.600000000000001</v>
      </c>
      <c r="K171" s="52">
        <v>7.6</v>
      </c>
      <c r="L171" s="51"/>
      <c r="M171" s="49"/>
      <c r="N171" s="49">
        <v>3800</v>
      </c>
      <c r="O171" s="49">
        <v>200</v>
      </c>
      <c r="P171" s="49">
        <f t="shared" si="0"/>
        <v>4.2409638554216871</v>
      </c>
      <c r="Q171" s="49">
        <f t="shared" si="3"/>
        <v>2.1842105263157898</v>
      </c>
      <c r="R171" s="49">
        <f t="shared" si="4"/>
        <v>9.2631578947368425</v>
      </c>
      <c r="S171" s="49">
        <f>E171/I171</f>
        <v>4.4000000000000004</v>
      </c>
      <c r="T171" s="52"/>
      <c r="U171" s="49">
        <v>17.100000000000001</v>
      </c>
      <c r="V171" s="49">
        <v>14</v>
      </c>
      <c r="W171" s="63">
        <f t="shared" si="6"/>
        <v>0.27382325039800809</v>
      </c>
      <c r="X171" s="3" t="s">
        <v>852</v>
      </c>
      <c r="Z171" s="4"/>
    </row>
    <row r="172" spans="1:26" ht="15" customHeight="1" x14ac:dyDescent="0.3">
      <c r="A172" s="62" t="s">
        <v>820</v>
      </c>
      <c r="B172" s="47" t="s">
        <v>771</v>
      </c>
      <c r="C172" s="49"/>
      <c r="D172" s="50">
        <v>2002</v>
      </c>
      <c r="E172" s="49">
        <v>69.599999999999994</v>
      </c>
      <c r="F172" s="49"/>
      <c r="G172" s="49"/>
      <c r="H172" s="52"/>
      <c r="I172" s="52">
        <v>16.600000000000001</v>
      </c>
      <c r="J172" s="52">
        <v>13.3</v>
      </c>
      <c r="K172" s="52">
        <v>5</v>
      </c>
      <c r="L172" s="51"/>
      <c r="M172" s="49"/>
      <c r="N172" s="49"/>
      <c r="O172" s="49">
        <v>107</v>
      </c>
      <c r="P172" s="49">
        <f t="shared" si="0"/>
        <v>5.2330827067669166</v>
      </c>
      <c r="Q172" s="49">
        <f t="shared" si="3"/>
        <v>2.66</v>
      </c>
      <c r="R172" s="49">
        <f t="shared" si="4"/>
        <v>13.919999999999998</v>
      </c>
      <c r="S172" s="49"/>
      <c r="T172" s="52"/>
      <c r="U172" s="49">
        <v>7.1</v>
      </c>
      <c r="V172" s="49">
        <v>12</v>
      </c>
      <c r="W172" s="63">
        <f t="shared" si="6"/>
        <v>0.23605067222226983</v>
      </c>
      <c r="X172" s="3" t="s">
        <v>617</v>
      </c>
    </row>
    <row r="173" spans="1:26" ht="15" customHeight="1" x14ac:dyDescent="0.3">
      <c r="A173" s="62" t="s">
        <v>821</v>
      </c>
      <c r="B173" s="47" t="s">
        <v>769</v>
      </c>
      <c r="C173" s="49"/>
      <c r="D173" s="50">
        <v>1986</v>
      </c>
      <c r="E173" s="49">
        <v>69.3</v>
      </c>
      <c r="F173" s="49"/>
      <c r="G173" s="49"/>
      <c r="H173" s="52"/>
      <c r="I173" s="52">
        <v>13.3</v>
      </c>
      <c r="J173" s="52">
        <v>15.5</v>
      </c>
      <c r="K173" s="52">
        <v>7.32</v>
      </c>
      <c r="L173" s="51"/>
      <c r="M173" s="49"/>
      <c r="N173" s="49"/>
      <c r="O173" s="49">
        <v>115</v>
      </c>
      <c r="P173" s="49">
        <f t="shared" si="0"/>
        <v>4.4709677419354836</v>
      </c>
      <c r="Q173" s="49">
        <f t="shared" si="3"/>
        <v>2.1174863387978142</v>
      </c>
      <c r="R173" s="49">
        <f t="shared" si="4"/>
        <v>9.467213114754097</v>
      </c>
      <c r="S173" s="49"/>
      <c r="T173" s="52"/>
      <c r="U173" s="49">
        <v>10</v>
      </c>
      <c r="V173" s="49">
        <v>16.7</v>
      </c>
      <c r="W173" s="63">
        <f t="shared" si="6"/>
        <v>0.32921413160452551</v>
      </c>
      <c r="X173" s="3" t="s">
        <v>850</v>
      </c>
    </row>
    <row r="174" spans="1:26" ht="15" customHeight="1" x14ac:dyDescent="0.3">
      <c r="A174" s="62" t="s">
        <v>822</v>
      </c>
      <c r="B174" s="47" t="s">
        <v>769</v>
      </c>
      <c r="C174" s="49"/>
      <c r="D174" s="50">
        <v>1983</v>
      </c>
      <c r="E174" s="49">
        <v>69.099999999999994</v>
      </c>
      <c r="F174" s="49"/>
      <c r="G174" s="49"/>
      <c r="H174" s="52"/>
      <c r="I174" s="52">
        <v>15.5</v>
      </c>
      <c r="J174" s="52"/>
      <c r="K174" s="52"/>
      <c r="L174" s="51"/>
      <c r="M174" s="49"/>
      <c r="N174" s="49"/>
      <c r="O174" s="49">
        <v>87</v>
      </c>
      <c r="P174" s="49" t="e">
        <f t="shared" si="0"/>
        <v>#DIV/0!</v>
      </c>
      <c r="Q174" s="49"/>
      <c r="R174" s="49"/>
      <c r="S174" s="49">
        <f>E174/I174</f>
        <v>4.4580645161290322</v>
      </c>
      <c r="T174" s="52"/>
      <c r="U174" s="49">
        <v>7</v>
      </c>
      <c r="V174" s="49">
        <v>16.5</v>
      </c>
      <c r="W174" s="63">
        <f t="shared" si="6"/>
        <v>0.32574183295743941</v>
      </c>
      <c r="X174" s="3" t="s">
        <v>853</v>
      </c>
    </row>
    <row r="175" spans="1:26" ht="15" customHeight="1" x14ac:dyDescent="0.3">
      <c r="A175" s="62" t="s">
        <v>823</v>
      </c>
      <c r="B175" s="47" t="s">
        <v>769</v>
      </c>
      <c r="C175" s="49"/>
      <c r="D175" s="50">
        <v>1992</v>
      </c>
      <c r="E175" s="49">
        <v>68.8</v>
      </c>
      <c r="F175" s="49"/>
      <c r="G175" s="49"/>
      <c r="H175" s="52"/>
      <c r="I175" s="52">
        <v>7.3</v>
      </c>
      <c r="J175" s="52">
        <v>17.5</v>
      </c>
      <c r="K175" s="52">
        <v>5.77</v>
      </c>
      <c r="L175" s="51"/>
      <c r="M175" s="49"/>
      <c r="N175" s="49">
        <v>3100</v>
      </c>
      <c r="O175" s="49">
        <v>165</v>
      </c>
      <c r="P175" s="49">
        <f t="shared" si="0"/>
        <v>3.9314285714285711</v>
      </c>
      <c r="Q175" s="49">
        <f t="shared" si="3"/>
        <v>3.0329289428076258</v>
      </c>
      <c r="R175" s="49">
        <f t="shared" si="4"/>
        <v>11.923743500866552</v>
      </c>
      <c r="S175" s="49">
        <f>E175/I175</f>
        <v>9.4246575342465757</v>
      </c>
      <c r="T175" s="52"/>
      <c r="U175" s="49">
        <v>11.2</v>
      </c>
      <c r="V175" s="49">
        <v>14</v>
      </c>
      <c r="W175" s="63">
        <f t="shared" si="6"/>
        <v>0.27698894227678539</v>
      </c>
      <c r="X175" s="3" t="s">
        <v>854</v>
      </c>
    </row>
    <row r="176" spans="1:26" ht="15" customHeight="1" x14ac:dyDescent="0.3">
      <c r="A176" s="62" t="s">
        <v>824</v>
      </c>
      <c r="B176" s="47" t="s">
        <v>769</v>
      </c>
      <c r="C176" s="49"/>
      <c r="D176" s="50">
        <v>1984</v>
      </c>
      <c r="E176" s="49">
        <v>65.5</v>
      </c>
      <c r="F176" s="49"/>
      <c r="G176" s="49"/>
      <c r="H176" s="52"/>
      <c r="I176" s="52"/>
      <c r="J176" s="52"/>
      <c r="K176" s="52"/>
      <c r="L176" s="51"/>
      <c r="M176" s="49"/>
      <c r="N176" s="49"/>
      <c r="O176" s="49">
        <v>87</v>
      </c>
      <c r="P176" s="49" t="e">
        <f t="shared" si="0"/>
        <v>#DIV/0!</v>
      </c>
      <c r="Q176" s="49"/>
      <c r="R176" s="49"/>
      <c r="S176" s="49"/>
      <c r="T176" s="52"/>
      <c r="U176" s="49">
        <v>7</v>
      </c>
      <c r="V176" s="49">
        <v>16.5</v>
      </c>
      <c r="W176" s="63">
        <f t="shared" si="6"/>
        <v>0.33457378501652146</v>
      </c>
      <c r="X176" s="3"/>
    </row>
    <row r="177" spans="1:29" ht="15" customHeight="1" x14ac:dyDescent="0.3">
      <c r="A177" s="62" t="s">
        <v>825</v>
      </c>
      <c r="B177" s="47" t="s">
        <v>771</v>
      </c>
      <c r="C177" s="49"/>
      <c r="D177" s="50">
        <v>2001</v>
      </c>
      <c r="E177" s="49">
        <v>60</v>
      </c>
      <c r="F177" s="49"/>
      <c r="G177" s="49"/>
      <c r="H177" s="52"/>
      <c r="I177" s="52">
        <v>5</v>
      </c>
      <c r="J177" s="52">
        <v>13.3</v>
      </c>
      <c r="K177" s="52">
        <v>4.0999999999999996</v>
      </c>
      <c r="L177" s="51"/>
      <c r="M177" s="49"/>
      <c r="N177" s="49">
        <v>900</v>
      </c>
      <c r="O177" s="49"/>
      <c r="P177" s="49">
        <f t="shared" si="0"/>
        <v>4.511278195488722</v>
      </c>
      <c r="Q177" s="49">
        <f t="shared" si="3"/>
        <v>3.2439024390243909</v>
      </c>
      <c r="R177" s="49">
        <f t="shared" si="4"/>
        <v>14.634146341463415</v>
      </c>
      <c r="S177" s="49"/>
      <c r="T177" s="52"/>
      <c r="U177" s="49">
        <v>14</v>
      </c>
      <c r="V177" s="49">
        <v>15.5</v>
      </c>
      <c r="W177" s="63">
        <f t="shared" si="6"/>
        <v>0.3283860412942175</v>
      </c>
      <c r="X177" s="3" t="s">
        <v>698</v>
      </c>
    </row>
    <row r="178" spans="1:29" ht="15" customHeight="1" x14ac:dyDescent="0.3">
      <c r="A178" s="62" t="s">
        <v>826</v>
      </c>
      <c r="B178" s="47" t="s">
        <v>771</v>
      </c>
      <c r="C178" s="49"/>
      <c r="D178" s="50">
        <v>1999</v>
      </c>
      <c r="E178" s="49">
        <v>60</v>
      </c>
      <c r="F178" s="49"/>
      <c r="G178" s="49"/>
      <c r="H178" s="52"/>
      <c r="I178" s="52">
        <v>5</v>
      </c>
      <c r="J178" s="52">
        <v>13.3</v>
      </c>
      <c r="K178" s="52">
        <v>4.0999999999999996</v>
      </c>
      <c r="L178" s="51"/>
      <c r="M178" s="49"/>
      <c r="N178" s="49">
        <v>800</v>
      </c>
      <c r="O178" s="49"/>
      <c r="P178" s="49">
        <f t="shared" si="0"/>
        <v>4.511278195488722</v>
      </c>
      <c r="Q178" s="49">
        <f t="shared" si="3"/>
        <v>3.2439024390243909</v>
      </c>
      <c r="R178" s="49">
        <f t="shared" si="4"/>
        <v>14.634146341463415</v>
      </c>
      <c r="S178" s="49"/>
      <c r="T178" s="52"/>
      <c r="U178" s="49">
        <v>7.3</v>
      </c>
      <c r="V178" s="49">
        <v>12</v>
      </c>
      <c r="W178" s="63">
        <f t="shared" si="6"/>
        <v>0.25423435455036197</v>
      </c>
      <c r="X178" s="6"/>
    </row>
    <row r="179" spans="1:29" ht="15" customHeight="1" x14ac:dyDescent="0.3">
      <c r="A179" s="62" t="s">
        <v>827</v>
      </c>
      <c r="B179" s="47" t="s">
        <v>730</v>
      </c>
      <c r="C179" s="49" t="s">
        <v>731</v>
      </c>
      <c r="D179" s="50">
        <v>2012</v>
      </c>
      <c r="E179" s="49">
        <v>134.19999999999999</v>
      </c>
      <c r="F179" s="49"/>
      <c r="G179" s="49">
        <v>121.25</v>
      </c>
      <c r="H179" s="52">
        <f t="shared" ref="H179:H189" si="11">IF(F179="",G179,F179)</f>
        <v>121.25</v>
      </c>
      <c r="I179" s="52">
        <v>10.55</v>
      </c>
      <c r="J179" s="52">
        <v>21.7</v>
      </c>
      <c r="K179" s="52">
        <v>7.65</v>
      </c>
      <c r="L179" s="51">
        <f t="shared" ref="L179:L189" si="12">M179/1.025</f>
        <v>13353.170731707318</v>
      </c>
      <c r="M179" s="49">
        <v>13687</v>
      </c>
      <c r="N179" s="49">
        <v>4780</v>
      </c>
      <c r="O179" s="49"/>
      <c r="P179" s="49">
        <f t="shared" ref="P179:P189" si="13">H179/J179</f>
        <v>5.5875576036866361</v>
      </c>
      <c r="Q179" s="49">
        <f t="shared" ref="Q179:Q189" si="14">J179/K179</f>
        <v>2.8366013071895422</v>
      </c>
      <c r="R179" s="49">
        <f t="shared" ref="R179:R189" si="15">H179/K179</f>
        <v>15.849673202614378</v>
      </c>
      <c r="S179" s="49">
        <f t="shared" ref="S179:S184" si="16">H179/I179</f>
        <v>11.492890995260662</v>
      </c>
      <c r="T179" s="52">
        <f t="shared" ref="T179:T189" si="17">IF(M179="","",L179/(H179*J179*K179))</f>
        <v>0.66340919338635329</v>
      </c>
      <c r="U179" s="49">
        <v>9</v>
      </c>
      <c r="V179" s="49">
        <v>16</v>
      </c>
      <c r="W179" s="63">
        <f t="shared" si="6"/>
        <v>0.22665867207836368</v>
      </c>
      <c r="X179" s="3"/>
      <c r="Y179">
        <f t="shared" ref="Y179:Y189" si="18">H179/(H179*J179*K179*T179)^(1/3)</f>
        <v>5.1107771762859633</v>
      </c>
    </row>
    <row r="180" spans="1:29" ht="15" customHeight="1" x14ac:dyDescent="0.3">
      <c r="A180" s="62" t="s">
        <v>828</v>
      </c>
      <c r="B180" s="47" t="s">
        <v>829</v>
      </c>
      <c r="C180" s="49" t="s">
        <v>625</v>
      </c>
      <c r="D180" s="50">
        <v>2010</v>
      </c>
      <c r="E180" s="49">
        <v>65</v>
      </c>
      <c r="F180" s="49">
        <v>62.4</v>
      </c>
      <c r="G180" s="49">
        <v>62.4</v>
      </c>
      <c r="H180" s="52">
        <f t="shared" si="11"/>
        <v>62.4</v>
      </c>
      <c r="I180" s="52">
        <v>6.2</v>
      </c>
      <c r="J180" s="52">
        <v>15</v>
      </c>
      <c r="K180" s="52">
        <v>4.3</v>
      </c>
      <c r="L180" s="51">
        <f t="shared" si="12"/>
        <v>2692.6829268292686</v>
      </c>
      <c r="M180" s="49">
        <v>2760</v>
      </c>
      <c r="N180" s="49">
        <v>893</v>
      </c>
      <c r="O180" s="49">
        <v>60</v>
      </c>
      <c r="P180" s="49">
        <f t="shared" si="13"/>
        <v>4.16</v>
      </c>
      <c r="Q180" s="49">
        <f t="shared" si="14"/>
        <v>3.4883720930232558</v>
      </c>
      <c r="R180" s="49">
        <f t="shared" si="15"/>
        <v>14.511627906976745</v>
      </c>
      <c r="S180" s="49">
        <f t="shared" si="16"/>
        <v>10.064516129032258</v>
      </c>
      <c r="T180" s="52">
        <f t="shared" si="17"/>
        <v>0.66902279040679502</v>
      </c>
      <c r="U180" s="49">
        <v>5.3</v>
      </c>
      <c r="V180" s="49">
        <v>13</v>
      </c>
      <c r="W180" s="63">
        <f t="shared" si="6"/>
        <v>0.26461550588185317</v>
      </c>
      <c r="X180" s="3"/>
      <c r="Y180">
        <f t="shared" si="18"/>
        <v>4.4852795639548821</v>
      </c>
    </row>
    <row r="181" spans="1:29" ht="15" customHeight="1" x14ac:dyDescent="0.3">
      <c r="A181" s="62" t="s">
        <v>830</v>
      </c>
      <c r="B181" s="47" t="s">
        <v>829</v>
      </c>
      <c r="C181" s="49" t="s">
        <v>625</v>
      </c>
      <c r="D181" s="50">
        <v>2010</v>
      </c>
      <c r="E181" s="49">
        <v>65</v>
      </c>
      <c r="F181" s="49">
        <v>62.4</v>
      </c>
      <c r="G181" s="49">
        <v>62.4</v>
      </c>
      <c r="H181" s="52">
        <f t="shared" si="11"/>
        <v>62.4</v>
      </c>
      <c r="I181" s="52">
        <v>6.2</v>
      </c>
      <c r="J181" s="52">
        <v>15</v>
      </c>
      <c r="K181" s="52">
        <v>4.3</v>
      </c>
      <c r="L181" s="51">
        <f t="shared" si="12"/>
        <v>2692.6829268292686</v>
      </c>
      <c r="M181" s="49">
        <v>2760</v>
      </c>
      <c r="N181" s="49">
        <v>893</v>
      </c>
      <c r="O181" s="49">
        <v>60</v>
      </c>
      <c r="P181" s="49">
        <f t="shared" si="13"/>
        <v>4.16</v>
      </c>
      <c r="Q181" s="49">
        <f t="shared" si="14"/>
        <v>3.4883720930232558</v>
      </c>
      <c r="R181" s="49">
        <f t="shared" si="15"/>
        <v>14.511627906976745</v>
      </c>
      <c r="S181" s="49">
        <f t="shared" si="16"/>
        <v>10.064516129032258</v>
      </c>
      <c r="T181" s="52">
        <f t="shared" si="17"/>
        <v>0.66902279040679502</v>
      </c>
      <c r="U181" s="49">
        <v>5.3</v>
      </c>
      <c r="V181" s="49">
        <v>13</v>
      </c>
      <c r="W181" s="63">
        <f t="shared" si="6"/>
        <v>0.26461550588185317</v>
      </c>
      <c r="X181" s="3"/>
      <c r="Y181">
        <f t="shared" si="18"/>
        <v>4.4852795639548821</v>
      </c>
    </row>
    <row r="182" spans="1:29" ht="15" customHeight="1" x14ac:dyDescent="0.3">
      <c r="A182" s="62" t="s">
        <v>831</v>
      </c>
      <c r="B182" s="47" t="s">
        <v>829</v>
      </c>
      <c r="C182" s="49" t="s">
        <v>625</v>
      </c>
      <c r="D182" s="50">
        <v>2009</v>
      </c>
      <c r="E182" s="49">
        <v>65</v>
      </c>
      <c r="F182" s="49">
        <v>62.4</v>
      </c>
      <c r="G182" s="49">
        <v>62.4</v>
      </c>
      <c r="H182" s="52">
        <f t="shared" si="11"/>
        <v>62.4</v>
      </c>
      <c r="I182" s="52">
        <v>6.2</v>
      </c>
      <c r="J182" s="52">
        <v>15</v>
      </c>
      <c r="K182" s="52">
        <v>4.3</v>
      </c>
      <c r="L182" s="51">
        <f t="shared" si="12"/>
        <v>2692.6829268292686</v>
      </c>
      <c r="M182" s="49">
        <v>2760</v>
      </c>
      <c r="N182" s="49">
        <v>893</v>
      </c>
      <c r="O182" s="49">
        <v>60</v>
      </c>
      <c r="P182" s="49">
        <f t="shared" si="13"/>
        <v>4.16</v>
      </c>
      <c r="Q182" s="49">
        <f t="shared" si="14"/>
        <v>3.4883720930232558</v>
      </c>
      <c r="R182" s="49">
        <f t="shared" si="15"/>
        <v>14.511627906976745</v>
      </c>
      <c r="S182" s="49">
        <f t="shared" si="16"/>
        <v>10.064516129032258</v>
      </c>
      <c r="T182" s="52">
        <f t="shared" si="17"/>
        <v>0.66902279040679502</v>
      </c>
      <c r="U182" s="49">
        <v>5.3</v>
      </c>
      <c r="V182" s="49">
        <v>13</v>
      </c>
      <c r="W182" s="63">
        <f t="shared" si="6"/>
        <v>0.26461550588185317</v>
      </c>
      <c r="X182" s="3"/>
      <c r="Y182">
        <f t="shared" si="18"/>
        <v>4.4852795639548821</v>
      </c>
    </row>
    <row r="183" spans="1:29" s="4" customFormat="1" ht="15" customHeight="1" x14ac:dyDescent="0.3">
      <c r="A183" s="62" t="s">
        <v>832</v>
      </c>
      <c r="B183" s="47" t="s">
        <v>829</v>
      </c>
      <c r="C183" s="49" t="s">
        <v>625</v>
      </c>
      <c r="D183" s="50">
        <v>2009</v>
      </c>
      <c r="E183" s="49">
        <v>65</v>
      </c>
      <c r="F183" s="49">
        <v>62.4</v>
      </c>
      <c r="G183" s="49">
        <v>62.4</v>
      </c>
      <c r="H183" s="52">
        <f t="shared" si="11"/>
        <v>62.4</v>
      </c>
      <c r="I183" s="52">
        <v>6.2</v>
      </c>
      <c r="J183" s="52">
        <v>15</v>
      </c>
      <c r="K183" s="52">
        <v>4.3</v>
      </c>
      <c r="L183" s="51">
        <f t="shared" si="12"/>
        <v>2692.6829268292686</v>
      </c>
      <c r="M183" s="49">
        <v>2760</v>
      </c>
      <c r="N183" s="49">
        <v>893</v>
      </c>
      <c r="O183" s="49">
        <v>60</v>
      </c>
      <c r="P183" s="49">
        <f t="shared" si="13"/>
        <v>4.16</v>
      </c>
      <c r="Q183" s="49">
        <f t="shared" si="14"/>
        <v>3.4883720930232558</v>
      </c>
      <c r="R183" s="49">
        <f t="shared" si="15"/>
        <v>14.511627906976745</v>
      </c>
      <c r="S183" s="49">
        <f t="shared" si="16"/>
        <v>10.064516129032258</v>
      </c>
      <c r="T183" s="52">
        <f t="shared" si="17"/>
        <v>0.66902279040679502</v>
      </c>
      <c r="U183" s="49">
        <v>5.3</v>
      </c>
      <c r="V183" s="49">
        <v>13</v>
      </c>
      <c r="W183" s="63">
        <f t="shared" si="6"/>
        <v>0.26461550588185317</v>
      </c>
      <c r="X183" s="3"/>
      <c r="Y183">
        <f t="shared" si="18"/>
        <v>4.4852795639548821</v>
      </c>
      <c r="Z183"/>
      <c r="AC183" s="5"/>
    </row>
    <row r="184" spans="1:29" ht="15" customHeight="1" x14ac:dyDescent="0.3">
      <c r="A184" s="62" t="s">
        <v>833</v>
      </c>
      <c r="B184" s="47" t="s">
        <v>624</v>
      </c>
      <c r="C184" s="49" t="s">
        <v>625</v>
      </c>
      <c r="D184" s="50">
        <v>2009</v>
      </c>
      <c r="E184" s="49">
        <v>114</v>
      </c>
      <c r="F184" s="49"/>
      <c r="G184" s="49">
        <v>103.68</v>
      </c>
      <c r="H184" s="52">
        <f t="shared" si="11"/>
        <v>103.68</v>
      </c>
      <c r="I184" s="52">
        <v>12.4</v>
      </c>
      <c r="J184" s="52">
        <v>26.5</v>
      </c>
      <c r="K184" s="52">
        <v>8.5</v>
      </c>
      <c r="L184" s="51">
        <f t="shared" si="12"/>
        <v>13951.219512195123</v>
      </c>
      <c r="M184" s="49">
        <v>14300</v>
      </c>
      <c r="N184" s="49">
        <v>7107</v>
      </c>
      <c r="O184" s="49"/>
      <c r="P184" s="49">
        <f t="shared" si="13"/>
        <v>3.9124528301886796</v>
      </c>
      <c r="Q184" s="49">
        <f t="shared" si="14"/>
        <v>3.1176470588235294</v>
      </c>
      <c r="R184" s="49">
        <f t="shared" si="15"/>
        <v>12.197647058823531</v>
      </c>
      <c r="S184" s="49">
        <f t="shared" si="16"/>
        <v>8.3612903225806452</v>
      </c>
      <c r="T184" s="52">
        <f t="shared" si="17"/>
        <v>0.59738234575587845</v>
      </c>
      <c r="U184" s="49">
        <v>16</v>
      </c>
      <c r="V184" s="49">
        <v>16</v>
      </c>
      <c r="W184" s="63">
        <f t="shared" si="6"/>
        <v>0.24592131491778102</v>
      </c>
      <c r="X184" s="3"/>
      <c r="Y184">
        <f t="shared" si="18"/>
        <v>4.3068286938289999</v>
      </c>
    </row>
    <row r="185" spans="1:29" ht="15" customHeight="1" x14ac:dyDescent="0.3">
      <c r="A185" s="62" t="s">
        <v>701</v>
      </c>
      <c r="B185" s="47" t="s">
        <v>702</v>
      </c>
      <c r="C185" s="49" t="s">
        <v>703</v>
      </c>
      <c r="D185" s="50">
        <v>2009</v>
      </c>
      <c r="E185" s="49">
        <v>138</v>
      </c>
      <c r="F185" s="49">
        <v>126</v>
      </c>
      <c r="G185" s="49"/>
      <c r="H185" s="52">
        <f t="shared" si="11"/>
        <v>126</v>
      </c>
      <c r="I185" s="52"/>
      <c r="J185" s="52">
        <v>27</v>
      </c>
      <c r="K185" s="52">
        <v>9.1999999999999993</v>
      </c>
      <c r="L185" s="51">
        <f t="shared" si="12"/>
        <v>12391.219512195123</v>
      </c>
      <c r="M185" s="49">
        <v>12701</v>
      </c>
      <c r="N185" s="49"/>
      <c r="O185" s="49"/>
      <c r="P185" s="49">
        <f t="shared" si="13"/>
        <v>4.666666666666667</v>
      </c>
      <c r="Q185" s="49">
        <f t="shared" si="14"/>
        <v>2.9347826086956523</v>
      </c>
      <c r="R185" s="49">
        <f t="shared" si="15"/>
        <v>13.695652173913045</v>
      </c>
      <c r="S185" s="49"/>
      <c r="T185" s="52">
        <f t="shared" si="17"/>
        <v>0.3959058454168623</v>
      </c>
      <c r="U185" s="49">
        <v>22.1</v>
      </c>
      <c r="V185" s="49">
        <v>15</v>
      </c>
      <c r="W185" s="63">
        <f t="shared" si="6"/>
        <v>0.20954646132111254</v>
      </c>
      <c r="X185" s="6"/>
      <c r="Y185">
        <f t="shared" si="18"/>
        <v>5.4450164344608734</v>
      </c>
    </row>
    <row r="186" spans="1:29" ht="15" customHeight="1" x14ac:dyDescent="0.3">
      <c r="A186" s="62" t="s">
        <v>834</v>
      </c>
      <c r="B186" s="47" t="s">
        <v>829</v>
      </c>
      <c r="C186" s="49" t="s">
        <v>625</v>
      </c>
      <c r="D186" s="50">
        <v>2008</v>
      </c>
      <c r="E186" s="49">
        <v>81.599999999999994</v>
      </c>
      <c r="F186" s="49">
        <v>73.3</v>
      </c>
      <c r="G186" s="49"/>
      <c r="H186" s="52">
        <f t="shared" si="11"/>
        <v>73.3</v>
      </c>
      <c r="I186" s="52">
        <v>11.2</v>
      </c>
      <c r="J186" s="52">
        <v>18.5</v>
      </c>
      <c r="K186" s="52">
        <v>9.1</v>
      </c>
      <c r="L186" s="51">
        <f t="shared" si="12"/>
        <v>6373.6585365853662</v>
      </c>
      <c r="M186" s="49">
        <v>6533</v>
      </c>
      <c r="N186" s="49">
        <v>1930</v>
      </c>
      <c r="O186" s="49"/>
      <c r="P186" s="49">
        <f t="shared" si="13"/>
        <v>3.9621621621621621</v>
      </c>
      <c r="Q186" s="49">
        <f t="shared" si="14"/>
        <v>2.0329670329670328</v>
      </c>
      <c r="R186" s="49">
        <f t="shared" si="15"/>
        <v>8.0549450549450547</v>
      </c>
      <c r="S186" s="49">
        <f>H186/I186</f>
        <v>6.5446428571428577</v>
      </c>
      <c r="T186" s="52">
        <f t="shared" si="17"/>
        <v>0.51650163119899928</v>
      </c>
      <c r="U186" s="49">
        <v>10.4</v>
      </c>
      <c r="V186" s="49">
        <v>15</v>
      </c>
      <c r="W186" s="63">
        <f t="shared" si="6"/>
        <v>0.27250520062503769</v>
      </c>
      <c r="X186" s="3"/>
      <c r="Y186">
        <f t="shared" si="18"/>
        <v>3.9534329450455008</v>
      </c>
    </row>
    <row r="187" spans="1:29" ht="15" customHeight="1" x14ac:dyDescent="0.3">
      <c r="A187" s="62" t="s">
        <v>835</v>
      </c>
      <c r="B187" s="47" t="s">
        <v>829</v>
      </c>
      <c r="C187" s="49" t="s">
        <v>625</v>
      </c>
      <c r="D187" s="50">
        <v>2008</v>
      </c>
      <c r="E187" s="49">
        <v>100</v>
      </c>
      <c r="F187" s="49">
        <v>88.8</v>
      </c>
      <c r="G187" s="49">
        <v>88.8</v>
      </c>
      <c r="H187" s="52">
        <f t="shared" si="11"/>
        <v>88.8</v>
      </c>
      <c r="I187" s="52">
        <v>13.3</v>
      </c>
      <c r="J187" s="52">
        <v>21</v>
      </c>
      <c r="K187" s="52">
        <v>10.5</v>
      </c>
      <c r="L187" s="51">
        <f t="shared" si="12"/>
        <v>10608.780487804879</v>
      </c>
      <c r="M187" s="49">
        <v>10874</v>
      </c>
      <c r="N187" s="49">
        <v>4643</v>
      </c>
      <c r="O187" s="49"/>
      <c r="P187" s="49">
        <f t="shared" si="13"/>
        <v>4.2285714285714286</v>
      </c>
      <c r="Q187" s="49">
        <f t="shared" si="14"/>
        <v>2</v>
      </c>
      <c r="R187" s="49">
        <f t="shared" si="15"/>
        <v>8.4571428571428573</v>
      </c>
      <c r="S187" s="49">
        <f>H187/I187</f>
        <v>6.6766917293233075</v>
      </c>
      <c r="T187" s="52">
        <f t="shared" si="17"/>
        <v>0.5418061167190088</v>
      </c>
      <c r="U187" s="49">
        <v>16.8</v>
      </c>
      <c r="V187" s="49">
        <v>15</v>
      </c>
      <c r="W187" s="63">
        <f t="shared" si="6"/>
        <v>0.24616135530183592</v>
      </c>
      <c r="X187" s="3"/>
      <c r="Y187">
        <f t="shared" si="18"/>
        <v>4.0413315191745447</v>
      </c>
    </row>
    <row r="188" spans="1:29" ht="15" customHeight="1" x14ac:dyDescent="0.3">
      <c r="A188" s="62" t="s">
        <v>836</v>
      </c>
      <c r="B188" s="47" t="s">
        <v>659</v>
      </c>
      <c r="C188" s="49" t="s">
        <v>625</v>
      </c>
      <c r="D188" s="50">
        <v>2007</v>
      </c>
      <c r="E188" s="49">
        <v>159.6</v>
      </c>
      <c r="F188" s="49"/>
      <c r="G188" s="49">
        <v>138.9</v>
      </c>
      <c r="H188" s="52">
        <f t="shared" si="11"/>
        <v>138.9</v>
      </c>
      <c r="I188" s="52">
        <v>17.2</v>
      </c>
      <c r="J188" s="52">
        <v>30</v>
      </c>
      <c r="K188" s="52">
        <v>11</v>
      </c>
      <c r="L188" s="51">
        <f t="shared" si="12"/>
        <v>25209.756097560978</v>
      </c>
      <c r="M188" s="49">
        <v>25840</v>
      </c>
      <c r="N188" s="49"/>
      <c r="O188" s="49"/>
      <c r="P188" s="49">
        <f t="shared" si="13"/>
        <v>4.63</v>
      </c>
      <c r="Q188" s="49">
        <f t="shared" si="14"/>
        <v>2.7272727272727271</v>
      </c>
      <c r="R188" s="49">
        <f t="shared" si="15"/>
        <v>12.627272727272727</v>
      </c>
      <c r="S188" s="49">
        <f>H188/I188</f>
        <v>8.0755813953488378</v>
      </c>
      <c r="T188" s="52">
        <f t="shared" si="17"/>
        <v>0.5499870431651499</v>
      </c>
      <c r="U188" s="49">
        <v>52.8</v>
      </c>
      <c r="V188" s="49">
        <v>21</v>
      </c>
      <c r="W188" s="63">
        <f t="shared" si="6"/>
        <v>0.27279189739094217</v>
      </c>
      <c r="X188" s="3"/>
      <c r="Y188">
        <f t="shared" si="18"/>
        <v>4.7371015815538211</v>
      </c>
    </row>
    <row r="189" spans="1:29" ht="15" customHeight="1" x14ac:dyDescent="0.3">
      <c r="A189" s="62" t="s">
        <v>837</v>
      </c>
      <c r="B189" s="47" t="s">
        <v>829</v>
      </c>
      <c r="C189" s="49" t="s">
        <v>625</v>
      </c>
      <c r="D189" s="50">
        <v>2007</v>
      </c>
      <c r="E189" s="49">
        <v>65</v>
      </c>
      <c r="F189" s="49"/>
      <c r="G189" s="49">
        <v>62.36</v>
      </c>
      <c r="H189" s="52">
        <f t="shared" si="11"/>
        <v>62.36</v>
      </c>
      <c r="I189" s="52">
        <v>6.2</v>
      </c>
      <c r="J189" s="52">
        <v>15</v>
      </c>
      <c r="K189" s="52">
        <v>4.3</v>
      </c>
      <c r="L189" s="51">
        <f t="shared" si="12"/>
        <v>2630.2439024390246</v>
      </c>
      <c r="M189" s="49">
        <v>2696</v>
      </c>
      <c r="N189" s="49">
        <v>980</v>
      </c>
      <c r="O189" s="49">
        <v>60</v>
      </c>
      <c r="P189" s="49">
        <f t="shared" si="13"/>
        <v>4.1573333333333329</v>
      </c>
      <c r="Q189" s="49">
        <f t="shared" si="14"/>
        <v>3.4883720930232558</v>
      </c>
      <c r="R189" s="49">
        <f t="shared" si="15"/>
        <v>14.502325581395349</v>
      </c>
      <c r="S189" s="49">
        <f>H189/I189</f>
        <v>10.058064516129033</v>
      </c>
      <c r="T189" s="52">
        <f t="shared" si="17"/>
        <v>0.65392840332926216</v>
      </c>
      <c r="U189" s="49">
        <v>5.3</v>
      </c>
      <c r="V189" s="49">
        <v>13</v>
      </c>
      <c r="W189" s="63">
        <f t="shared" si="6"/>
        <v>0.26461550588185317</v>
      </c>
      <c r="X189" s="3"/>
      <c r="Y189">
        <f t="shared" si="18"/>
        <v>4.5175964386228697</v>
      </c>
    </row>
    <row r="190" spans="1:29" ht="15" customHeight="1" thickBot="1" x14ac:dyDescent="0.35">
      <c r="A190" s="66"/>
      <c r="B190" s="67"/>
      <c r="C190" s="68"/>
      <c r="D190" s="69"/>
      <c r="E190" s="68"/>
      <c r="F190" s="68"/>
      <c r="G190" s="68"/>
      <c r="H190" s="71"/>
      <c r="I190" s="71"/>
      <c r="J190" s="71"/>
      <c r="K190" s="71"/>
      <c r="L190" s="70"/>
      <c r="M190" s="68"/>
      <c r="N190" s="68"/>
      <c r="O190" s="68"/>
      <c r="P190" s="68"/>
      <c r="Q190" s="68"/>
      <c r="R190" s="68"/>
      <c r="S190" s="68"/>
      <c r="T190" s="71"/>
      <c r="U190" s="68"/>
      <c r="V190" s="68"/>
      <c r="W190" s="72"/>
      <c r="X190" s="3"/>
    </row>
  </sheetData>
  <mergeCells count="15">
    <mergeCell ref="B43:E44"/>
    <mergeCell ref="L43:O44"/>
    <mergeCell ref="U43:Y44"/>
    <mergeCell ref="A123:B123"/>
    <mergeCell ref="B63:E64"/>
    <mergeCell ref="L63:O64"/>
    <mergeCell ref="U63:X64"/>
    <mergeCell ref="B83:F84"/>
    <mergeCell ref="M83:N84"/>
    <mergeCell ref="V83:W84"/>
    <mergeCell ref="A1:B1"/>
    <mergeCell ref="A17:C18"/>
    <mergeCell ref="B23:F24"/>
    <mergeCell ref="L23:O24"/>
    <mergeCell ref="U23:X24"/>
  </mergeCells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2224EE6583B748A59D622E7CD30B59" ma:contentTypeVersion="7" ma:contentTypeDescription="Create a new document." ma:contentTypeScope="" ma:versionID="c8c80a52fedb466a0ce9965e6a4e94b5">
  <xsd:schema xmlns:xsd="http://www.w3.org/2001/XMLSchema" xmlns:xs="http://www.w3.org/2001/XMLSchema" xmlns:p="http://schemas.microsoft.com/office/2006/metadata/properties" xmlns:ns2="fdf8d52b-0995-4d0c-9e77-b8feb4649440" xmlns:ns3="3bba751c-cb60-4758-a074-d825d619ad30" targetNamespace="http://schemas.microsoft.com/office/2006/metadata/properties" ma:root="true" ma:fieldsID="0e87a3c04f4e345a8b9e5f6e0ad01a35" ns2:_="" ns3:_="">
    <xsd:import namespace="fdf8d52b-0995-4d0c-9e77-b8feb4649440"/>
    <xsd:import namespace="3bba751c-cb60-4758-a074-d825d619ad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f8d52b-0995-4d0c-9e77-b8feb46494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ba751c-cb60-4758-a074-d825d619ad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F4C6F2-A5C4-461B-A7F3-5F1650D15FFF}">
  <ds:schemaRefs>
    <ds:schemaRef ds:uri="http://purl.org/dc/elements/1.1/"/>
    <ds:schemaRef ds:uri="http://schemas.microsoft.com/office/2006/metadata/properties"/>
    <ds:schemaRef ds:uri="fdf8d52b-0995-4d0c-9e77-b8feb464944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915B93-6AFE-4C57-8DE4-3A9A02AFF7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f8d52b-0995-4d0c-9e77-b8feb4649440"/>
    <ds:schemaRef ds:uri="3bba751c-cb60-4758-a074-d825d619ad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08E6E9-A2CD-48F5-BD56-01EBDC8D8D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Cruise</vt:lpstr>
      <vt:lpstr>Hospital passenger ship</vt:lpstr>
      <vt:lpstr>ROPAX</vt:lpstr>
      <vt:lpstr>Container ships</vt:lpstr>
      <vt:lpstr>Mega Yacht</vt:lpstr>
      <vt:lpstr>Ice Breaker</vt:lpstr>
      <vt:lpstr>Offshore supply vessel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Ahmed Yosri</dc:creator>
  <cp:keywords/>
  <dc:description/>
  <cp:lastModifiedBy>Ahmed Yosri</cp:lastModifiedBy>
  <cp:revision/>
  <dcterms:created xsi:type="dcterms:W3CDTF">2021-04-18T11:36:51Z</dcterms:created>
  <dcterms:modified xsi:type="dcterms:W3CDTF">2021-10-06T02:28:14Z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0x0101007B2224EE6583B748A59D622E7CD30B59</vt:lpwstr>
  </property>
</Properties>
</file>