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3935" activeTab="1"/>
  </bookViews>
  <sheets>
    <sheet name="Input" sheetId="1" r:id="rId1"/>
    <sheet name="Calculates" sheetId="2" r:id="rId2"/>
    <sheet name="Output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<sst xmlns="http://schemas.openxmlformats.org/spreadsheetml/2006/main" count="221" uniqueCount="167">
  <si>
    <t>Power Prediction Method  - J. Holtrop and G.G.J. Mennen - 1982</t>
  </si>
  <si>
    <t>PRINCIPAL PARTICULARS</t>
  </si>
  <si>
    <t>LBP =</t>
  </si>
  <si>
    <t>B =</t>
  </si>
  <si>
    <t>T =</t>
  </si>
  <si>
    <t>lcb =</t>
  </si>
  <si>
    <t>Cp =</t>
  </si>
  <si>
    <t>Cb =</t>
  </si>
  <si>
    <t>Cms =</t>
  </si>
  <si>
    <t>Cwp =</t>
  </si>
  <si>
    <t>Abt =</t>
  </si>
  <si>
    <t>Speed</t>
  </si>
  <si>
    <t>m</t>
  </si>
  <si>
    <t>m2</t>
  </si>
  <si>
    <t>Beam</t>
  </si>
  <si>
    <t>Average Moulded Draught</t>
  </si>
  <si>
    <t>Length Between Perpendiculars</t>
  </si>
  <si>
    <t>Prismatic Coefficient</t>
  </si>
  <si>
    <t>Block Coefficient</t>
  </si>
  <si>
    <t>Midship Section Coefficient</t>
  </si>
  <si>
    <t>Waterplane Area Coefficient</t>
  </si>
  <si>
    <t>-</t>
  </si>
  <si>
    <t>APPENDAGES PARTICULARS</t>
  </si>
  <si>
    <t>Rudder Behind Skeg</t>
  </si>
  <si>
    <t>Rudder Behind Stern</t>
  </si>
  <si>
    <t>Twin-screw balance rudders</t>
  </si>
  <si>
    <t>Shaft Brackets</t>
  </si>
  <si>
    <t>Skeg</t>
  </si>
  <si>
    <t>Strut Bossings</t>
  </si>
  <si>
    <t>Hull Bossings</t>
  </si>
  <si>
    <t>Shafts</t>
  </si>
  <si>
    <t>Stabilizer Fins</t>
  </si>
  <si>
    <t>Dome</t>
  </si>
  <si>
    <t>Bilge Keels</t>
  </si>
  <si>
    <t>Bow Thruster</t>
  </si>
  <si>
    <t>Stern Thruster</t>
  </si>
  <si>
    <t>1 + K2</t>
  </si>
  <si>
    <t>Sapp</t>
  </si>
  <si>
    <t>Presence</t>
  </si>
  <si>
    <t>Presence:</t>
  </si>
  <si>
    <t>Sapp :</t>
  </si>
  <si>
    <t>1 + K2 :</t>
  </si>
  <si>
    <t>Wetted area of the appendages</t>
  </si>
  <si>
    <t>1 or 0 (Present or not Present)</t>
  </si>
  <si>
    <t>LR</t>
  </si>
  <si>
    <t>C12</t>
  </si>
  <si>
    <t>C13</t>
  </si>
  <si>
    <t>Cstern =</t>
  </si>
  <si>
    <t>Fn</t>
  </si>
  <si>
    <t>Rn</t>
  </si>
  <si>
    <t>1+K1</t>
  </si>
  <si>
    <t>S</t>
  </si>
  <si>
    <t>iE</t>
  </si>
  <si>
    <t>C7</t>
  </si>
  <si>
    <t>C1</t>
  </si>
  <si>
    <t>C3</t>
  </si>
  <si>
    <t>Tf =</t>
  </si>
  <si>
    <t>hb =</t>
  </si>
  <si>
    <t>Foward draught of the ship</t>
  </si>
  <si>
    <t>C2</t>
  </si>
  <si>
    <t>C5</t>
  </si>
  <si>
    <t>At =</t>
  </si>
  <si>
    <t>Lamb</t>
  </si>
  <si>
    <t>C16</t>
  </si>
  <si>
    <t>m1</t>
  </si>
  <si>
    <t xml:space="preserve">C15 </t>
  </si>
  <si>
    <t>Pb</t>
  </si>
  <si>
    <t>Fni</t>
  </si>
  <si>
    <t>C6</t>
  </si>
  <si>
    <t>FnT</t>
  </si>
  <si>
    <t>CA</t>
  </si>
  <si>
    <t>C4</t>
  </si>
  <si>
    <t>Cp1</t>
  </si>
  <si>
    <t>Ta =</t>
  </si>
  <si>
    <t>Stern draught of the ship</t>
  </si>
  <si>
    <t>C8</t>
  </si>
  <si>
    <t>C9</t>
  </si>
  <si>
    <t>C11</t>
  </si>
  <si>
    <t>CV</t>
  </si>
  <si>
    <t>CF</t>
  </si>
  <si>
    <t>C10</t>
  </si>
  <si>
    <t>Ae/A0</t>
  </si>
  <si>
    <t>C0.75</t>
  </si>
  <si>
    <t>(t/c)0.75</t>
  </si>
  <si>
    <t>PROPULSION PARTICULARS</t>
  </si>
  <si>
    <t>Z =</t>
  </si>
  <si>
    <t>P =</t>
  </si>
  <si>
    <t>D =</t>
  </si>
  <si>
    <t>Hp =</t>
  </si>
  <si>
    <t>Number of blades</t>
  </si>
  <si>
    <t>Pitch of the propeller</t>
  </si>
  <si>
    <t>Diameter of the propeller</t>
  </si>
  <si>
    <t>High of the shaft from keel line</t>
  </si>
  <si>
    <t>Speeds</t>
  </si>
  <si>
    <t>V0 =</t>
  </si>
  <si>
    <t>Vf =</t>
  </si>
  <si>
    <t>Initial Speed</t>
  </si>
  <si>
    <t>Final Speed</t>
  </si>
  <si>
    <t>WATER PARTICULARS</t>
  </si>
  <si>
    <t>Ni =</t>
  </si>
  <si>
    <t>rho =</t>
  </si>
  <si>
    <t>Specific mass of water</t>
  </si>
  <si>
    <t>kg/m3</t>
  </si>
  <si>
    <t>Kinematic Viscosity of Water</t>
  </si>
  <si>
    <t>m2/s</t>
  </si>
  <si>
    <t>Longitudinal Centre of Buoyancy as a percentage of LBP - + Foward of 0,5 LBP</t>
  </si>
  <si>
    <t>%</t>
  </si>
  <si>
    <t>Volume</t>
  </si>
  <si>
    <t>L3/Vol</t>
  </si>
  <si>
    <t>K =</t>
  </si>
  <si>
    <t>K = 0,2 for single-screw ships or 0,1 for twin-screw ships</t>
  </si>
  <si>
    <t>Rf</t>
  </si>
  <si>
    <t>Rapp</t>
  </si>
  <si>
    <t>Rw</t>
  </si>
  <si>
    <t>1+k2</t>
  </si>
  <si>
    <t>RB</t>
  </si>
  <si>
    <t>Rtr</t>
  </si>
  <si>
    <t>RA</t>
  </si>
  <si>
    <t>Rtotal</t>
  </si>
  <si>
    <t>t</t>
  </si>
  <si>
    <t>w</t>
  </si>
  <si>
    <t>etarr</t>
  </si>
  <si>
    <t>DCd</t>
  </si>
  <si>
    <t>T</t>
  </si>
  <si>
    <t>PE</t>
  </si>
  <si>
    <t>eta0 =</t>
  </si>
  <si>
    <t>PS</t>
  </si>
  <si>
    <t>Results</t>
  </si>
  <si>
    <t>(knots)</t>
  </si>
  <si>
    <t>Pe</t>
  </si>
  <si>
    <t>Ps</t>
  </si>
  <si>
    <t>(kW)</t>
  </si>
  <si>
    <t>Rt</t>
  </si>
  <si>
    <t>(kN)</t>
  </si>
  <si>
    <t>knots</t>
  </si>
  <si>
    <t>The total resistance of a ship</t>
  </si>
  <si>
    <t>The propeller thrust</t>
  </si>
  <si>
    <t>Rt =</t>
  </si>
  <si>
    <t>Pe =</t>
  </si>
  <si>
    <t>Ps =</t>
  </si>
  <si>
    <t>w =</t>
  </si>
  <si>
    <t>t =</t>
  </si>
  <si>
    <t>etarr =</t>
  </si>
  <si>
    <t>Efective power</t>
  </si>
  <si>
    <t>Shaft power</t>
  </si>
  <si>
    <t>Thrust deduction coefficient</t>
  </si>
  <si>
    <t>Wake coefficient</t>
  </si>
  <si>
    <t>Relative-rotative efficiency</t>
  </si>
  <si>
    <t>Open water efficiency of the propeller</t>
  </si>
  <si>
    <t>Diameter</t>
  </si>
  <si>
    <t>Sapp (m2)</t>
  </si>
  <si>
    <t xml:space="preserve"> Appendage resistance factor - Default</t>
  </si>
  <si>
    <t>presence</t>
  </si>
  <si>
    <t>diameter</t>
  </si>
  <si>
    <t>Product</t>
  </si>
  <si>
    <t>Rbsthruster</t>
  </si>
  <si>
    <t>Prod.sum</t>
  </si>
  <si>
    <t>Developed by: Gérson Beraldo Matter - 04.17.2000</t>
  </si>
  <si>
    <t>S =</t>
  </si>
  <si>
    <t xml:space="preserve">Wetted Surface - If you don't now, input zero and the program </t>
  </si>
  <si>
    <t>will estimate a value</t>
  </si>
  <si>
    <t>CT</t>
  </si>
  <si>
    <t>Resistance coefficient</t>
  </si>
  <si>
    <t>Position of the centre of the transverse area Abt above the keel (See the middle picture below)</t>
  </si>
  <si>
    <t>Transverse Sectional Area of the Bulb at Fore Perpendicular (See the middle picture below)</t>
  </si>
  <si>
    <t>Immersed part of the transverse area of the transom (See the rigth picture below)</t>
  </si>
  <si>
    <t>Afterbody form: (see the left picture below)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</si>
</sst>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.00\ &quot;XDR&quot;_-;\-* #,##0.00\ &quot;XDR&quot;_-;_-* &quot;-&quot;??\ &quot;XDR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.000"/>
    <numFmt numFmtId="191" formatCode="0.000E+00"/>
    <numFmt numFmtId="192" formatCode="0.0000"/>
    <numFmt numFmtId="193" formatCode="0.000000"/>
    <numFmt numFmtId="194" formatCode="0.00000"/>
    <numFmt numFmtId="195" formatCode="0.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0" fillId="34" borderId="0" xfId="0" applyFill="1" applyBorder="1" applyAlignment="1">
      <alignment/>
    </xf>
    <xf numFmtId="0" fontId="1" fillId="33" borderId="11" xfId="0" applyFont="1" applyFill="1" applyBorder="1" applyAlignment="1">
      <alignment/>
    </xf>
    <xf numFmtId="2" fontId="0" fillId="0" borderId="10" xfId="0" applyNumberFormat="1" applyBorder="1" applyAlignment="1">
      <alignment/>
    </xf>
    <xf numFmtId="190" fontId="0" fillId="0" borderId="10" xfId="0" applyNumberFormat="1" applyBorder="1" applyAlignment="1">
      <alignment/>
    </xf>
    <xf numFmtId="0" fontId="1" fillId="33" borderId="1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3" xfId="0" applyFont="1" applyFill="1" applyBorder="1" applyAlignment="1">
      <alignment horizontal="center"/>
    </xf>
    <xf numFmtId="2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33" borderId="13" xfId="0" applyFont="1" applyFill="1" applyBorder="1" applyAlignment="1">
      <alignment/>
    </xf>
    <xf numFmtId="191" fontId="0" fillId="0" borderId="13" xfId="0" applyNumberFormat="1" applyBorder="1" applyAlignment="1">
      <alignment/>
    </xf>
    <xf numFmtId="191" fontId="0" fillId="0" borderId="10" xfId="0" applyNumberFormat="1" applyBorder="1" applyAlignment="1">
      <alignment/>
    </xf>
    <xf numFmtId="190" fontId="0" fillId="0" borderId="13" xfId="0" applyNumberFormat="1" applyBorder="1" applyAlignment="1">
      <alignment/>
    </xf>
    <xf numFmtId="193" fontId="0" fillId="0" borderId="13" xfId="0" applyNumberFormat="1" applyBorder="1" applyAlignment="1">
      <alignment/>
    </xf>
    <xf numFmtId="194" fontId="0" fillId="0" borderId="13" xfId="0" applyNumberFormat="1" applyBorder="1" applyAlignment="1">
      <alignment/>
    </xf>
    <xf numFmtId="0" fontId="0" fillId="33" borderId="10" xfId="0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95" fontId="0" fillId="0" borderId="13" xfId="0" applyNumberFormat="1" applyBorder="1" applyAlignment="1">
      <alignment/>
    </xf>
    <xf numFmtId="0" fontId="1" fillId="34" borderId="0" xfId="0" applyFont="1" applyFill="1" applyBorder="1" applyAlignment="1">
      <alignment horizontal="right"/>
    </xf>
    <xf numFmtId="190" fontId="0" fillId="34" borderId="0" xfId="0" applyNumberFormat="1" applyFill="1" applyBorder="1" applyAlignment="1">
      <alignment/>
    </xf>
    <xf numFmtId="0" fontId="1" fillId="34" borderId="0" xfId="0" applyFont="1" applyFill="1" applyBorder="1" applyAlignment="1">
      <alignment/>
    </xf>
    <xf numFmtId="2" fontId="0" fillId="0" borderId="13" xfId="0" applyNumberFormat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2" fontId="2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35" borderId="13" xfId="0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1" fontId="0" fillId="35" borderId="13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195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2" fontId="0" fillId="0" borderId="13" xfId="0" applyNumberFormat="1" applyFill="1" applyBorder="1" applyAlignment="1">
      <alignment/>
    </xf>
    <xf numFmtId="195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2" fontId="0" fillId="36" borderId="13" xfId="0" applyNumberFormat="1" applyFill="1" applyBorder="1" applyAlignment="1">
      <alignment/>
    </xf>
    <xf numFmtId="195" fontId="0" fillId="36" borderId="13" xfId="0" applyNumberFormat="1" applyFill="1" applyBorder="1" applyAlignment="1">
      <alignment/>
    </xf>
    <xf numFmtId="0" fontId="0" fillId="36" borderId="13" xfId="0" applyFill="1" applyBorder="1" applyAlignment="1">
      <alignment/>
    </xf>
    <xf numFmtId="194" fontId="0" fillId="0" borderId="0" xfId="0" applyNumberFormat="1" applyAlignment="1">
      <alignment/>
    </xf>
    <xf numFmtId="19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Total Resistance of a ship</a:t>
            </a:r>
          </a:p>
        </c:rich>
      </c:tx>
      <c:layout>
        <c:manualLayout>
          <c:xMode val="factor"/>
          <c:yMode val="factor"/>
          <c:x val="0.002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6"/>
          <c:w val="0.72075"/>
          <c:h val="0.749"/>
        </c:manualLayout>
      </c:layout>
      <c:lineChart>
        <c:grouping val="standard"/>
        <c:varyColors val="0"/>
        <c:ser>
          <c:idx val="0"/>
          <c:order val="0"/>
          <c:tx>
            <c:v>RT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Output!$B$6:$B$26</c:f>
              <c:numCache/>
            </c:numRef>
          </c:cat>
          <c:val>
            <c:numRef>
              <c:f>Output!$C$6:$C$26</c:f>
              <c:numCache/>
            </c:numRef>
          </c:val>
          <c:smooth val="0"/>
        </c:ser>
        <c:ser>
          <c:idx val="1"/>
          <c:order val="1"/>
          <c:tx>
            <c:v>T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Output!$B$6:$B$26</c:f>
              <c:numCache/>
            </c:numRef>
          </c:cat>
          <c:val>
            <c:numRef>
              <c:f>Output!$D$6:$D$26</c:f>
              <c:numCache/>
            </c:numRef>
          </c:val>
          <c:smooth val="0"/>
        </c:ser>
        <c:marker val="1"/>
        <c:axId val="63324845"/>
        <c:axId val="33052694"/>
      </c:lineChart>
      <c:catAx>
        <c:axId val="63324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 (knots)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52694"/>
        <c:crosses val="autoZero"/>
        <c:auto val="1"/>
        <c:lblOffset val="100"/>
        <c:tickLblSkip val="3"/>
        <c:noMultiLvlLbl val="0"/>
      </c:catAx>
      <c:valAx>
        <c:axId val="33052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Resistance (kN)</a:t>
                </a:r>
              </a:p>
            </c:rich>
          </c:tx>
          <c:layout>
            <c:manualLayout>
              <c:xMode val="factor"/>
              <c:yMode val="factor"/>
              <c:x val="-0.02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24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3065"/>
          <c:w val="0.1325"/>
          <c:h val="0.3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Power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5"/>
          <c:w val="0.78"/>
          <c:h val="0.7785"/>
        </c:manualLayout>
      </c:layout>
      <c:lineChart>
        <c:grouping val="standard"/>
        <c:varyColors val="0"/>
        <c:ser>
          <c:idx val="0"/>
          <c:order val="0"/>
          <c:tx>
            <c:v>Pe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Output!$B$6:$B$26</c:f>
              <c:numCache/>
            </c:numRef>
          </c:cat>
          <c:val>
            <c:numRef>
              <c:f>Output!$E$6:$E$26</c:f>
              <c:numCache/>
            </c:numRef>
          </c:val>
          <c:smooth val="0"/>
        </c:ser>
        <c:ser>
          <c:idx val="1"/>
          <c:order val="1"/>
          <c:tx>
            <c:v>Ps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Output!$B$6:$B$26</c:f>
              <c:numCache/>
            </c:numRef>
          </c:cat>
          <c:val>
            <c:numRef>
              <c:f>Output!$F$6:$F$26</c:f>
              <c:numCache/>
            </c:numRef>
          </c:val>
          <c:smooth val="0"/>
        </c:ser>
        <c:marker val="1"/>
        <c:axId val="29038791"/>
        <c:axId val="60022528"/>
      </c:lineChart>
      <c:catAx>
        <c:axId val="29038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 (knots)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22528"/>
        <c:crosses val="autoZero"/>
        <c:auto val="1"/>
        <c:lblOffset val="100"/>
        <c:tickLblSkip val="2"/>
        <c:noMultiLvlLbl val="0"/>
      </c:catAx>
      <c:valAx>
        <c:axId val="60022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(kW)</a:t>
                </a:r>
              </a:p>
            </c:rich>
          </c:tx>
          <c:layout>
            <c:manualLayout>
              <c:xMode val="factor"/>
              <c:yMode val="factor"/>
              <c:x val="-0.02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387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42725"/>
          <c:w val="0.121"/>
          <c:h val="0.2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9525</xdr:rowOff>
    </xdr:from>
    <xdr:to>
      <xdr:col>4</xdr:col>
      <xdr:colOff>323850</xdr:colOff>
      <xdr:row>34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40862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21</xdr:row>
      <xdr:rowOff>38100</xdr:rowOff>
    </xdr:from>
    <xdr:to>
      <xdr:col>8</xdr:col>
      <xdr:colOff>114300</xdr:colOff>
      <xdr:row>34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b="8491"/>
        <a:stretch>
          <a:fillRect/>
        </a:stretch>
      </xdr:blipFill>
      <xdr:spPr>
        <a:xfrm>
          <a:off x="4124325" y="3438525"/>
          <a:ext cx="2228850" cy="21336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266700</xdr:colOff>
      <xdr:row>21</xdr:row>
      <xdr:rowOff>38100</xdr:rowOff>
    </xdr:from>
    <xdr:to>
      <xdr:col>19</xdr:col>
      <xdr:colOff>276225</xdr:colOff>
      <xdr:row>34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rcRect b="18566"/>
        <a:stretch>
          <a:fillRect/>
        </a:stretch>
      </xdr:blipFill>
      <xdr:spPr>
        <a:xfrm>
          <a:off x="6505575" y="3438525"/>
          <a:ext cx="6715125" cy="21431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9525</xdr:rowOff>
    </xdr:from>
    <xdr:to>
      <xdr:col>7</xdr:col>
      <xdr:colOff>533400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38100" y="5838825"/>
        <a:ext cx="47625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35</xdr:row>
      <xdr:rowOff>161925</xdr:rowOff>
    </xdr:from>
    <xdr:to>
      <xdr:col>16</xdr:col>
      <xdr:colOff>0</xdr:colOff>
      <xdr:row>55</xdr:row>
      <xdr:rowOff>19050</xdr:rowOff>
    </xdr:to>
    <xdr:graphicFrame>
      <xdr:nvGraphicFramePr>
        <xdr:cNvPr id="2" name="Chart 2"/>
        <xdr:cNvGraphicFramePr/>
      </xdr:nvGraphicFramePr>
      <xdr:xfrm>
        <a:off x="5019675" y="5829300"/>
        <a:ext cx="48101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49">
      <selection activeCell="B61" sqref="B61"/>
    </sheetView>
  </sheetViews>
  <sheetFormatPr defaultColWidth="9.140625" defaultRowHeight="12.75"/>
  <cols>
    <col min="1" max="1" width="26.8515625" style="5" customWidth="1"/>
    <col min="2" max="2" width="10.140625" style="0" customWidth="1"/>
    <col min="3" max="3" width="10.28125" style="0" customWidth="1"/>
    <col min="6" max="6" width="9.7109375" style="0" customWidth="1"/>
  </cols>
  <sheetData>
    <row r="1" spans="2:10" ht="12.75">
      <c r="B1" s="2" t="s">
        <v>0</v>
      </c>
      <c r="C1" s="13"/>
      <c r="D1" s="13"/>
      <c r="E1" s="3"/>
      <c r="F1" s="3"/>
      <c r="G1" s="3"/>
      <c r="H1" s="4"/>
      <c r="I1" s="12"/>
      <c r="J1" s="12"/>
    </row>
    <row r="2" spans="2:10" ht="12.75">
      <c r="B2" s="2"/>
      <c r="C2" s="13" t="s">
        <v>157</v>
      </c>
      <c r="D2" s="13"/>
      <c r="E2" s="3"/>
      <c r="F2" s="3"/>
      <c r="G2" s="3"/>
      <c r="H2" s="4"/>
      <c r="I2" s="12"/>
      <c r="J2" s="12"/>
    </row>
    <row r="4" spans="1:3" ht="12.75">
      <c r="A4" s="7" t="s">
        <v>1</v>
      </c>
      <c r="B4" s="3"/>
      <c r="C4" s="4"/>
    </row>
    <row r="6" spans="1:5" ht="12.75">
      <c r="A6" s="8" t="s">
        <v>2</v>
      </c>
      <c r="B6" s="15">
        <v>205</v>
      </c>
      <c r="C6" s="10" t="s">
        <v>12</v>
      </c>
      <c r="D6" s="11" t="s">
        <v>21</v>
      </c>
      <c r="E6" t="s">
        <v>16</v>
      </c>
    </row>
    <row r="7" spans="1:5" ht="12.75">
      <c r="A7" s="8" t="s">
        <v>3</v>
      </c>
      <c r="B7" s="15">
        <v>32</v>
      </c>
      <c r="C7" s="10" t="s">
        <v>12</v>
      </c>
      <c r="D7" s="11" t="s">
        <v>21</v>
      </c>
      <c r="E7" t="s">
        <v>14</v>
      </c>
    </row>
    <row r="8" spans="1:5" ht="12.75">
      <c r="A8" s="8" t="s">
        <v>4</v>
      </c>
      <c r="B8" s="15">
        <v>10</v>
      </c>
      <c r="C8" s="10" t="s">
        <v>12</v>
      </c>
      <c r="D8" s="11" t="s">
        <v>21</v>
      </c>
      <c r="E8" t="s">
        <v>15</v>
      </c>
    </row>
    <row r="9" spans="1:5" ht="12.75">
      <c r="A9" s="8" t="s">
        <v>5</v>
      </c>
      <c r="B9" s="15">
        <v>-2.02</v>
      </c>
      <c r="C9" s="10" t="s">
        <v>106</v>
      </c>
      <c r="D9" s="11" t="s">
        <v>21</v>
      </c>
      <c r="E9" t="s">
        <v>105</v>
      </c>
    </row>
    <row r="10" spans="1:5" ht="12.75">
      <c r="A10" s="8" t="s">
        <v>6</v>
      </c>
      <c r="B10" s="15">
        <v>0.583</v>
      </c>
      <c r="C10" s="10"/>
      <c r="D10" s="11" t="s">
        <v>21</v>
      </c>
      <c r="E10" t="s">
        <v>17</v>
      </c>
    </row>
    <row r="11" spans="1:5" ht="12.75">
      <c r="A11" s="8" t="s">
        <v>7</v>
      </c>
      <c r="B11" s="15">
        <v>0.572</v>
      </c>
      <c r="C11" s="10"/>
      <c r="D11" s="11" t="s">
        <v>21</v>
      </c>
      <c r="E11" t="s">
        <v>18</v>
      </c>
    </row>
    <row r="12" spans="1:5" ht="12.75">
      <c r="A12" s="8" t="s">
        <v>8</v>
      </c>
      <c r="B12" s="15">
        <v>0.98</v>
      </c>
      <c r="C12" s="10"/>
      <c r="D12" s="11" t="s">
        <v>21</v>
      </c>
      <c r="E12" t="s">
        <v>19</v>
      </c>
    </row>
    <row r="13" spans="1:5" ht="12.75">
      <c r="A13" s="8" t="s">
        <v>9</v>
      </c>
      <c r="B13" s="15">
        <v>0.75</v>
      </c>
      <c r="C13" s="10"/>
      <c r="D13" s="11" t="s">
        <v>21</v>
      </c>
      <c r="E13" t="s">
        <v>20</v>
      </c>
    </row>
    <row r="14" spans="1:5" ht="12.75">
      <c r="A14" s="8" t="s">
        <v>10</v>
      </c>
      <c r="B14" s="15">
        <v>20</v>
      </c>
      <c r="C14" s="10" t="s">
        <v>13</v>
      </c>
      <c r="D14" s="11" t="s">
        <v>21</v>
      </c>
      <c r="E14" t="s">
        <v>164</v>
      </c>
    </row>
    <row r="15" spans="1:5" ht="12.75">
      <c r="A15" s="8" t="s">
        <v>47</v>
      </c>
      <c r="B15" s="24">
        <v>10</v>
      </c>
      <c r="C15" s="10"/>
      <c r="D15" s="11" t="s">
        <v>21</v>
      </c>
      <c r="E15" t="s">
        <v>166</v>
      </c>
    </row>
    <row r="16" spans="1:5" ht="12.75">
      <c r="A16" s="8" t="s">
        <v>56</v>
      </c>
      <c r="B16" s="15">
        <v>10</v>
      </c>
      <c r="C16" s="10" t="s">
        <v>12</v>
      </c>
      <c r="D16" s="11" t="s">
        <v>21</v>
      </c>
      <c r="E16" t="s">
        <v>58</v>
      </c>
    </row>
    <row r="17" spans="1:5" ht="12.75">
      <c r="A17" s="8" t="s">
        <v>73</v>
      </c>
      <c r="B17" s="15">
        <v>10</v>
      </c>
      <c r="C17" s="10" t="s">
        <v>12</v>
      </c>
      <c r="D17" s="11" t="s">
        <v>21</v>
      </c>
      <c r="E17" t="s">
        <v>74</v>
      </c>
    </row>
    <row r="18" spans="1:5" ht="12.75">
      <c r="A18" s="8" t="s">
        <v>57</v>
      </c>
      <c r="B18" s="15">
        <v>4</v>
      </c>
      <c r="C18" s="10" t="s">
        <v>12</v>
      </c>
      <c r="D18" s="11" t="s">
        <v>21</v>
      </c>
      <c r="E18" t="s">
        <v>163</v>
      </c>
    </row>
    <row r="19" spans="1:5" ht="12.75">
      <c r="A19" s="8" t="s">
        <v>61</v>
      </c>
      <c r="B19" s="15">
        <v>16</v>
      </c>
      <c r="C19" s="10" t="s">
        <v>13</v>
      </c>
      <c r="D19" s="11" t="s">
        <v>21</v>
      </c>
      <c r="E19" t="s">
        <v>165</v>
      </c>
    </row>
    <row r="20" spans="1:5" ht="12.75">
      <c r="A20" s="8" t="s">
        <v>158</v>
      </c>
      <c r="B20" s="15">
        <v>7381.43</v>
      </c>
      <c r="C20" s="10" t="s">
        <v>13</v>
      </c>
      <c r="D20" s="11" t="s">
        <v>21</v>
      </c>
      <c r="E20" t="s">
        <v>159</v>
      </c>
    </row>
    <row r="21" spans="1:5" ht="12.75">
      <c r="A21" s="36"/>
      <c r="B21" s="37"/>
      <c r="C21" s="38"/>
      <c r="D21" s="11"/>
      <c r="E21" t="s">
        <v>160</v>
      </c>
    </row>
    <row r="22" spans="1:4" ht="12.75">
      <c r="A22" s="36"/>
      <c r="B22" s="37"/>
      <c r="C22" s="38"/>
      <c r="D22" s="11"/>
    </row>
    <row r="23" spans="1:4" ht="12.75">
      <c r="A23" s="36"/>
      <c r="B23" s="37"/>
      <c r="C23" s="38"/>
      <c r="D23" s="11"/>
    </row>
    <row r="24" spans="1:4" ht="12.75">
      <c r="A24" s="36"/>
      <c r="B24" s="37"/>
      <c r="C24" s="38"/>
      <c r="D24" s="11"/>
    </row>
    <row r="25" spans="1:4" ht="12.75">
      <c r="A25" s="36"/>
      <c r="B25" s="37"/>
      <c r="C25" s="38"/>
      <c r="D25" s="11"/>
    </row>
    <row r="26" spans="1:4" ht="12.75">
      <c r="A26" s="36"/>
      <c r="B26" s="37"/>
      <c r="C26" s="38"/>
      <c r="D26" s="11"/>
    </row>
    <row r="27" spans="1:4" ht="12.75">
      <c r="A27" s="36"/>
      <c r="B27" s="37"/>
      <c r="C27" s="38"/>
      <c r="D27" s="11"/>
    </row>
    <row r="28" spans="1:4" ht="12.75">
      <c r="A28" s="36"/>
      <c r="B28" s="37"/>
      <c r="C28" s="38"/>
      <c r="D28" s="11"/>
    </row>
    <row r="29" spans="1:4" ht="12.75">
      <c r="A29" s="36"/>
      <c r="B29" s="37"/>
      <c r="C29" s="38"/>
      <c r="D29" s="11"/>
    </row>
    <row r="30" spans="1:4" ht="12.75">
      <c r="A30" s="36"/>
      <c r="B30" s="37"/>
      <c r="C30" s="38"/>
      <c r="D30" s="11"/>
    </row>
    <row r="31" spans="1:4" ht="12.75">
      <c r="A31" s="36"/>
      <c r="B31" s="37"/>
      <c r="C31" s="38"/>
      <c r="D31" s="11"/>
    </row>
    <row r="32" spans="1:4" ht="12.75">
      <c r="A32" s="36"/>
      <c r="B32" s="37"/>
      <c r="C32" s="38"/>
      <c r="D32" s="11"/>
    </row>
    <row r="33" spans="1:4" ht="12.75">
      <c r="A33" s="36"/>
      <c r="B33" s="37"/>
      <c r="C33" s="38"/>
      <c r="D33" s="11"/>
    </row>
    <row r="34" spans="1:4" ht="12.75">
      <c r="A34" s="36"/>
      <c r="B34" s="37"/>
      <c r="C34" s="38"/>
      <c r="D34" s="11"/>
    </row>
    <row r="35" spans="1:4" ht="12.75">
      <c r="A35" s="36"/>
      <c r="B35" s="37"/>
      <c r="C35" s="38"/>
      <c r="D35" s="11"/>
    </row>
    <row r="37" spans="1:3" ht="12.75">
      <c r="A37" s="7" t="s">
        <v>22</v>
      </c>
      <c r="B37" s="18"/>
      <c r="C37" s="19"/>
    </row>
    <row r="38" spans="2:4" s="17" customFormat="1" ht="12.75">
      <c r="B38" s="20" t="s">
        <v>36</v>
      </c>
      <c r="C38" s="20" t="s">
        <v>150</v>
      </c>
      <c r="D38" s="20" t="s">
        <v>38</v>
      </c>
    </row>
    <row r="39" spans="1:7" ht="12.75">
      <c r="A39" s="16" t="s">
        <v>23</v>
      </c>
      <c r="B39" s="42">
        <v>1.7</v>
      </c>
      <c r="C39" s="21">
        <v>0</v>
      </c>
      <c r="D39" s="22">
        <v>0</v>
      </c>
      <c r="F39" s="23" t="s">
        <v>41</v>
      </c>
      <c r="G39" t="s">
        <v>151</v>
      </c>
    </row>
    <row r="40" spans="1:7" ht="12.75">
      <c r="A40" s="16" t="s">
        <v>24</v>
      </c>
      <c r="B40" s="42">
        <v>1.4</v>
      </c>
      <c r="C40" s="21">
        <v>0</v>
      </c>
      <c r="D40" s="22">
        <v>0</v>
      </c>
      <c r="F40" s="23" t="s">
        <v>40</v>
      </c>
      <c r="G40" t="s">
        <v>42</v>
      </c>
    </row>
    <row r="41" spans="1:7" ht="12.75">
      <c r="A41" s="16" t="s">
        <v>25</v>
      </c>
      <c r="B41" s="42">
        <v>2.8</v>
      </c>
      <c r="C41" s="21">
        <v>0</v>
      </c>
      <c r="D41" s="22">
        <v>0</v>
      </c>
      <c r="F41" s="23" t="s">
        <v>39</v>
      </c>
      <c r="G41" t="s">
        <v>43</v>
      </c>
    </row>
    <row r="42" spans="1:4" ht="12.75">
      <c r="A42" s="16" t="s">
        <v>26</v>
      </c>
      <c r="B42" s="42">
        <v>3</v>
      </c>
      <c r="C42" s="21">
        <v>0</v>
      </c>
      <c r="D42" s="22">
        <v>0</v>
      </c>
    </row>
    <row r="43" spans="1:4" ht="12.75">
      <c r="A43" s="16" t="s">
        <v>27</v>
      </c>
      <c r="B43" s="42">
        <v>1.8</v>
      </c>
      <c r="C43" s="21">
        <v>0</v>
      </c>
      <c r="D43" s="22">
        <v>0</v>
      </c>
    </row>
    <row r="44" spans="1:4" ht="12.75">
      <c r="A44" s="16" t="s">
        <v>28</v>
      </c>
      <c r="B44" s="42">
        <v>3</v>
      </c>
      <c r="C44" s="21">
        <v>0</v>
      </c>
      <c r="D44" s="22">
        <v>0</v>
      </c>
    </row>
    <row r="45" spans="1:4" ht="12.75">
      <c r="A45" s="16" t="s">
        <v>29</v>
      </c>
      <c r="B45" s="42">
        <v>2</v>
      </c>
      <c r="C45" s="21">
        <v>0</v>
      </c>
      <c r="D45" s="22">
        <v>0</v>
      </c>
    </row>
    <row r="46" spans="1:4" ht="12.75">
      <c r="A46" s="16" t="s">
        <v>30</v>
      </c>
      <c r="B46" s="42">
        <v>3</v>
      </c>
      <c r="C46" s="21">
        <v>0</v>
      </c>
      <c r="D46" s="22">
        <v>0</v>
      </c>
    </row>
    <row r="47" spans="1:7" ht="12.75">
      <c r="A47" s="16" t="s">
        <v>31</v>
      </c>
      <c r="B47" s="42">
        <v>2.8</v>
      </c>
      <c r="C47" s="21">
        <v>0</v>
      </c>
      <c r="D47" s="22">
        <v>0</v>
      </c>
      <c r="F47" s="23"/>
      <c r="G47" s="23"/>
    </row>
    <row r="48" spans="1:7" ht="12.75">
      <c r="A48" s="16" t="s">
        <v>32</v>
      </c>
      <c r="B48" s="42">
        <v>2.7</v>
      </c>
      <c r="C48" s="21">
        <v>0</v>
      </c>
      <c r="D48" s="22">
        <v>0</v>
      </c>
      <c r="F48" s="23"/>
      <c r="G48" s="23"/>
    </row>
    <row r="49" spans="1:7" ht="12.75">
      <c r="A49" s="16" t="s">
        <v>33</v>
      </c>
      <c r="B49" s="42">
        <v>1.4</v>
      </c>
      <c r="C49" s="21">
        <v>0</v>
      </c>
      <c r="D49" s="22">
        <v>0</v>
      </c>
      <c r="E49" s="40" t="s">
        <v>149</v>
      </c>
      <c r="F49" s="23"/>
      <c r="G49" s="23"/>
    </row>
    <row r="50" spans="1:6" ht="12.75">
      <c r="A50" s="16" t="s">
        <v>34</v>
      </c>
      <c r="B50" s="39" t="s">
        <v>21</v>
      </c>
      <c r="C50" s="39" t="s">
        <v>21</v>
      </c>
      <c r="D50" s="22">
        <v>0</v>
      </c>
      <c r="E50" s="14">
        <v>1</v>
      </c>
      <c r="F50" s="41" t="s">
        <v>12</v>
      </c>
    </row>
    <row r="51" spans="1:6" ht="12.75">
      <c r="A51" s="16" t="s">
        <v>35</v>
      </c>
      <c r="B51" s="39" t="s">
        <v>21</v>
      </c>
      <c r="C51" s="39" t="s">
        <v>21</v>
      </c>
      <c r="D51" s="22">
        <v>0</v>
      </c>
      <c r="E51" s="14">
        <v>1</v>
      </c>
      <c r="F51" s="41" t="s">
        <v>12</v>
      </c>
    </row>
    <row r="53" ht="12.75">
      <c r="F53" s="23"/>
    </row>
    <row r="55" spans="1:3" ht="12.75">
      <c r="A55" s="6" t="s">
        <v>84</v>
      </c>
      <c r="B55" s="3"/>
      <c r="C55" s="4"/>
    </row>
    <row r="56" spans="1:5" ht="12.75">
      <c r="A56" s="8" t="s">
        <v>85</v>
      </c>
      <c r="B56" s="24">
        <v>5</v>
      </c>
      <c r="C56" s="4"/>
      <c r="D56" s="11" t="s">
        <v>21</v>
      </c>
      <c r="E56" t="s">
        <v>89</v>
      </c>
    </row>
    <row r="57" spans="1:5" ht="12.75">
      <c r="A57" s="8" t="s">
        <v>86</v>
      </c>
      <c r="B57" s="14">
        <v>6.507</v>
      </c>
      <c r="C57" s="10" t="s">
        <v>12</v>
      </c>
      <c r="D57" s="11" t="s">
        <v>21</v>
      </c>
      <c r="E57" t="s">
        <v>90</v>
      </c>
    </row>
    <row r="58" spans="1:5" ht="12.75">
      <c r="A58" s="8" t="s">
        <v>87</v>
      </c>
      <c r="B58" s="14">
        <v>9.1</v>
      </c>
      <c r="C58" s="10" t="s">
        <v>12</v>
      </c>
      <c r="D58" s="11" t="s">
        <v>21</v>
      </c>
      <c r="E58" t="s">
        <v>91</v>
      </c>
    </row>
    <row r="59" spans="1:5" ht="12.75">
      <c r="A59" s="8" t="s">
        <v>88</v>
      </c>
      <c r="B59" s="14">
        <v>4.6</v>
      </c>
      <c r="C59" s="10" t="s">
        <v>12</v>
      </c>
      <c r="D59" s="11" t="s">
        <v>21</v>
      </c>
      <c r="E59" t="s">
        <v>92</v>
      </c>
    </row>
    <row r="60" spans="1:5" ht="12.75">
      <c r="A60" s="8" t="s">
        <v>109</v>
      </c>
      <c r="B60" s="9">
        <v>0.2</v>
      </c>
      <c r="C60" s="4"/>
      <c r="D60" s="11" t="s">
        <v>21</v>
      </c>
      <c r="E60" t="s">
        <v>110</v>
      </c>
    </row>
    <row r="61" spans="1:5" ht="12.75">
      <c r="A61" s="8" t="s">
        <v>125</v>
      </c>
      <c r="B61" s="9">
        <v>0.63</v>
      </c>
      <c r="C61" s="4"/>
      <c r="D61" s="11" t="s">
        <v>21</v>
      </c>
      <c r="E61" t="s">
        <v>148</v>
      </c>
    </row>
    <row r="62" spans="1:4" ht="12.75">
      <c r="A62" s="36"/>
      <c r="B62" s="12"/>
      <c r="C62" s="12"/>
      <c r="D62" s="11"/>
    </row>
    <row r="63" ht="12.75">
      <c r="A63" s="16" t="s">
        <v>93</v>
      </c>
    </row>
    <row r="64" spans="1:5" ht="12.75">
      <c r="A64" s="8" t="s">
        <v>94</v>
      </c>
      <c r="B64" s="14">
        <v>1</v>
      </c>
      <c r="C64" s="10" t="s">
        <v>134</v>
      </c>
      <c r="D64" s="11" t="s">
        <v>21</v>
      </c>
      <c r="E64" t="s">
        <v>96</v>
      </c>
    </row>
    <row r="65" spans="1:5" ht="12.75">
      <c r="A65" s="8" t="s">
        <v>95</v>
      </c>
      <c r="B65" s="14">
        <v>25</v>
      </c>
      <c r="C65" s="10" t="s">
        <v>134</v>
      </c>
      <c r="D65" s="11" t="s">
        <v>21</v>
      </c>
      <c r="E65" t="s">
        <v>97</v>
      </c>
    </row>
    <row r="67" ht="12.75">
      <c r="A67" s="8" t="s">
        <v>98</v>
      </c>
    </row>
    <row r="68" spans="1:5" ht="12.75">
      <c r="A68" s="8" t="s">
        <v>99</v>
      </c>
      <c r="B68" s="28">
        <v>1.1883E-06</v>
      </c>
      <c r="C68" s="10" t="s">
        <v>104</v>
      </c>
      <c r="D68" s="11" t="s">
        <v>21</v>
      </c>
      <c r="E68" t="s">
        <v>103</v>
      </c>
    </row>
    <row r="69" spans="1:5" ht="12.75">
      <c r="A69" s="8" t="s">
        <v>100</v>
      </c>
      <c r="B69" s="9">
        <v>1025</v>
      </c>
      <c r="C69" s="10" t="s">
        <v>102</v>
      </c>
      <c r="D69" s="11" t="s">
        <v>21</v>
      </c>
      <c r="E69" t="s">
        <v>101</v>
      </c>
    </row>
  </sheetData>
  <sheetProtection/>
  <printOptions/>
  <pageMargins left="0.75" right="0.75" top="1" bottom="1" header="0.492125985" footer="0.49212598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23"/>
  <sheetViews>
    <sheetView tabSelected="1" zoomScalePageLayoutView="0" workbookViewId="0" topLeftCell="AO1">
      <selection activeCell="AV3" sqref="AV3"/>
    </sheetView>
  </sheetViews>
  <sheetFormatPr defaultColWidth="9.140625" defaultRowHeight="12.75"/>
  <cols>
    <col min="2" max="2" width="10.140625" style="0" customWidth="1"/>
    <col min="3" max="3" width="10.00390625" style="0" bestFit="1" customWidth="1"/>
    <col min="6" max="6" width="10.00390625" style="0" customWidth="1"/>
    <col min="9" max="9" width="10.00390625" style="0" customWidth="1"/>
    <col min="10" max="10" width="11.57421875" style="0" customWidth="1"/>
    <col min="14" max="14" width="9.57421875" style="0" customWidth="1"/>
    <col min="24" max="24" width="9.57421875" style="0" customWidth="1"/>
    <col min="28" max="28" width="9.421875" style="0" customWidth="1"/>
    <col min="33" max="33" width="9.421875" style="0" customWidth="1"/>
    <col min="34" max="38" width="8.140625" style="0" customWidth="1"/>
    <col min="39" max="39" width="12.8515625" style="0" customWidth="1"/>
    <col min="40" max="42" width="8.140625" style="0" customWidth="1"/>
    <col min="43" max="43" width="11.00390625" style="0" customWidth="1"/>
    <col min="44" max="46" width="8.140625" style="0" customWidth="1"/>
    <col min="52" max="52" width="10.7109375" style="0" customWidth="1"/>
    <col min="53" max="53" width="10.28125" style="0" customWidth="1"/>
    <col min="60" max="60" width="11.00390625" style="0" customWidth="1"/>
  </cols>
  <sheetData>
    <row r="2" spans="1:60" s="1" customFormat="1" ht="12.75">
      <c r="A2" s="26" t="s">
        <v>11</v>
      </c>
      <c r="B2" s="26" t="s">
        <v>48</v>
      </c>
      <c r="C2" s="26" t="s">
        <v>49</v>
      </c>
      <c r="D2" s="26" t="s">
        <v>79</v>
      </c>
      <c r="E2" s="26" t="s">
        <v>44</v>
      </c>
      <c r="F2" s="26" t="s">
        <v>45</v>
      </c>
      <c r="G2" s="26" t="s">
        <v>46</v>
      </c>
      <c r="H2" s="26" t="s">
        <v>50</v>
      </c>
      <c r="I2" s="26" t="s">
        <v>51</v>
      </c>
      <c r="J2" s="26" t="s">
        <v>107</v>
      </c>
      <c r="K2" s="26" t="s">
        <v>52</v>
      </c>
      <c r="L2" s="26" t="s">
        <v>53</v>
      </c>
      <c r="M2" s="26" t="s">
        <v>54</v>
      </c>
      <c r="N2" s="26" t="s">
        <v>55</v>
      </c>
      <c r="O2" s="26" t="s">
        <v>59</v>
      </c>
      <c r="P2" s="26" t="s">
        <v>60</v>
      </c>
      <c r="Q2" s="26" t="s">
        <v>62</v>
      </c>
      <c r="R2" s="26" t="s">
        <v>63</v>
      </c>
      <c r="S2" s="26" t="s">
        <v>64</v>
      </c>
      <c r="T2" s="26" t="s">
        <v>108</v>
      </c>
      <c r="U2" s="26" t="s">
        <v>65</v>
      </c>
      <c r="V2" s="26" t="s">
        <v>13</v>
      </c>
      <c r="W2" s="26" t="s">
        <v>66</v>
      </c>
      <c r="X2" s="26" t="s">
        <v>67</v>
      </c>
      <c r="Y2" s="26" t="s">
        <v>69</v>
      </c>
      <c r="Z2" s="26" t="s">
        <v>68</v>
      </c>
      <c r="AA2" s="26" t="s">
        <v>71</v>
      </c>
      <c r="AB2" s="26" t="s">
        <v>70</v>
      </c>
      <c r="AC2" s="26" t="s">
        <v>72</v>
      </c>
      <c r="AD2" s="26" t="s">
        <v>75</v>
      </c>
      <c r="AE2" s="26" t="s">
        <v>76</v>
      </c>
      <c r="AF2" s="26" t="s">
        <v>77</v>
      </c>
      <c r="AG2" s="26" t="s">
        <v>78</v>
      </c>
      <c r="AH2" s="26" t="s">
        <v>80</v>
      </c>
      <c r="AI2" s="26" t="s">
        <v>111</v>
      </c>
      <c r="AJ2" s="26" t="s">
        <v>114</v>
      </c>
      <c r="AK2" s="26" t="s">
        <v>37</v>
      </c>
      <c r="AL2" s="26" t="s">
        <v>112</v>
      </c>
      <c r="AM2" s="26" t="s">
        <v>113</v>
      </c>
      <c r="AN2" s="26" t="s">
        <v>115</v>
      </c>
      <c r="AO2" s="26" t="s">
        <v>116</v>
      </c>
      <c r="AP2" s="26" t="s">
        <v>117</v>
      </c>
      <c r="AQ2" s="26" t="s">
        <v>118</v>
      </c>
      <c r="AR2" s="26" t="s">
        <v>119</v>
      </c>
      <c r="AS2" s="26" t="s">
        <v>120</v>
      </c>
      <c r="AT2" s="26" t="s">
        <v>121</v>
      </c>
      <c r="AU2" s="26" t="s">
        <v>123</v>
      </c>
      <c r="AV2" s="26" t="s">
        <v>81</v>
      </c>
      <c r="AW2" s="26" t="s">
        <v>82</v>
      </c>
      <c r="AX2" s="26" t="s">
        <v>83</v>
      </c>
      <c r="AY2" s="26" t="s">
        <v>122</v>
      </c>
      <c r="AZ2" s="26" t="s">
        <v>124</v>
      </c>
      <c r="BA2" s="26" t="s">
        <v>126</v>
      </c>
      <c r="BB2" s="26" t="s">
        <v>114</v>
      </c>
      <c r="BC2" s="26" t="s">
        <v>37</v>
      </c>
      <c r="BD2" s="26" t="s">
        <v>152</v>
      </c>
      <c r="BE2" s="26" t="s">
        <v>156</v>
      </c>
      <c r="BG2" s="26" t="s">
        <v>154</v>
      </c>
      <c r="BH2" s="26" t="s">
        <v>155</v>
      </c>
    </row>
    <row r="3" spans="1:60" ht="12.75">
      <c r="A3" s="25">
        <f>Input!$B$64*0.514444444</f>
        <v>0.514444444</v>
      </c>
      <c r="B3" s="27">
        <f>A3/(9.81*Input!$B$6)^0.5</f>
        <v>0.011471680608651327</v>
      </c>
      <c r="C3" s="27">
        <f>A3*Input!$B$6/Input!$B$68</f>
        <v>88749567.4661281</v>
      </c>
      <c r="D3" s="25">
        <f>0.075/((LOG10(C3)-2)^2)</f>
        <v>0.0021198008754843133</v>
      </c>
      <c r="E3" s="29">
        <f>(1-Input!$B$10+0.06*Input!$B$10*Input!$B$9/(4*Input!$B$10-1))*Input!$B$6</f>
        <v>74.61021171171173</v>
      </c>
      <c r="F3" s="30">
        <f>IF((Input!$B$8/Input!$B$6)&gt;0.05,((Input!$B$8/Input!$B$6)^0.2228446),(IF((Input!$B$8/Input!$B$6)&gt;0.02,(0.479948+48.2*(Input!$B$8/Input!$B$6-0.02)^2.078),0.479948)))</f>
        <v>0.5102208281235032</v>
      </c>
      <c r="G3" s="25">
        <f>1+0.003*Input!$B$15</f>
        <v>1.03</v>
      </c>
      <c r="H3" s="25">
        <f>G3*(0.93+F3*((Input!$B$7/E3)^0.92497)*((0.95-Input!$B$10)^(-0.521448))*((1-Input!$B$10+0.0225*Input!$B$9)^0.6906))</f>
        <v>1.1623512166412657</v>
      </c>
      <c r="I3" s="29">
        <f>IF(Input!$B$20&gt;0,Input!$B$20,Input!$B$6*(2*Input!$B$8+Input!$B$7)*(Input!$B$12^0.5)*(0.453+0.4425*Input!$B$11-0.2862*Input!$B$12-0.003467*(Input!$B$7/Input!$B$8)+0.3696*Input!$B$13)+2.38*Input!$B$14/Input!$B$11)</f>
        <v>7381.43</v>
      </c>
      <c r="J3" s="29">
        <f>Input!$B$6*Input!$B$7*Input!$B$8*Input!$B$11</f>
        <v>37523.2</v>
      </c>
      <c r="K3" s="31">
        <f>1+89*EXP(-1*((Input!$B$6/Input!$B$7)^0.80856)*((1-Input!$B$13)^0.30484)*((1-Input!$B$10-0.0225*Input!$B$9)^0.6367)*((Calculates!$E$3/Input!$B$7)^0.34574)*((100*Calculates!$J$3/(Input!$B$6^3))^0.16302))</f>
        <v>11.822355456040485</v>
      </c>
      <c r="L3" s="25">
        <f>IF(Input!$B$7/Input!$B$6&lt;0.11,(0.229577*(Input!$B$7/Input!$B$6)^0.33333),(IF(Input!$B$7/Input!$B$6&lt;0.25,(Input!$B$7/Input!$B$6),(0.5-0.0625*Input!$B$7/Input!$B$6))))</f>
        <v>0.15609756097560976</v>
      </c>
      <c r="M3" s="25">
        <f>2223105*(L3^3.78613)*((Input!$B$8/Input!$B$7)^1.07961)*((90-Calculates!K3)^(-1.37565))</f>
        <v>1.3914538154228873</v>
      </c>
      <c r="N3" s="25">
        <f>0.56*(Input!$B$14^1.5)/(Input!$B$7*Input!$B$8*(0.31*(Input!$B$14^0.5)+Input!$B$16-Input!$B$18))</f>
        <v>0.021191048493160156</v>
      </c>
      <c r="O3" s="25">
        <f>EXP(-1.89*(N3^0.5))</f>
        <v>0.7594733474184135</v>
      </c>
      <c r="P3" s="25">
        <f>1-0.8*Input!$B$19/(Input!$B$7*Input!$B$8*Input!$B$12)</f>
        <v>0.9591836734693877</v>
      </c>
      <c r="Q3" s="25">
        <f>IF(Input!$B$6/Input!$B$7&lt;12,(1.446*Input!$B$10-0.03*Input!$B$6/Input!$B$7),(1.446*Input!$B$10-0.36))</f>
        <v>0.6508305</v>
      </c>
      <c r="R3" s="25">
        <f>IF(Input!$B$10&lt;0.8,(8.07981*(Input!$B$10)-13.8673*(Input!$B$10^2)+6.984388*(Input!$B$10^3)),(1.73014-0.7067*Input!$B$10))</f>
        <v>1.3811799089593564</v>
      </c>
      <c r="S3" s="25">
        <f>0.0140407*(Input!$B$6/Input!$B$8)-1.75254*((Calculates!J3^(1/3))/Input!$B$6)-4.79323*(Input!$B$7/Input!$B$6)-Calculates!R3</f>
        <v>-2.12776436725836</v>
      </c>
      <c r="T3" s="25">
        <f>(Input!$B$6^3)/Calculates!J3</f>
        <v>229.59462412587413</v>
      </c>
      <c r="U3" s="25">
        <f>IF(T3&lt;512,(-1.69385),IF(T3&lt;1727,(-1.69385+(T3^(1/3))),0))</f>
        <v>-1.69385</v>
      </c>
      <c r="V3" s="25">
        <f>U3*(Input!$B$10^2)*EXP(-0.1*(Calculates!B3^(-2)))</f>
        <v>0</v>
      </c>
      <c r="W3" s="25">
        <f>0.56*(Input!$B$14^0.5)/(Input!$B$16-1.5*Input!$B$18)</f>
        <v>0.6260990336999412</v>
      </c>
      <c r="X3" s="25">
        <f>A3/((9.81*(Input!$B$16-Input!$B$18-0.25*(Input!$B$14^0.5))+0.15*Calculates!A3^2)^0.5)</f>
        <v>0.07430647886209404</v>
      </c>
      <c r="Y3" s="25">
        <f>IF(Input!$B$19=0,0,A3/(2*9.81*Input!$B$19/(Input!$B$7+Input!$B$7*Input!$B$13))^0.5)</f>
        <v>0.2172816256274397</v>
      </c>
      <c r="Z3" s="25">
        <f>IF(Y3&lt;5,(0.2*(1-0.2*Y3)),0)</f>
        <v>0.19130873497490242</v>
      </c>
      <c r="AA3" s="25">
        <f>IF(Input!$B$16/Input!$B$6&gt;0.04,0.04,Input!$B$16/Input!$B$6)</f>
        <v>0.04</v>
      </c>
      <c r="AB3" s="25">
        <f>0.006*((Input!$B$6+100)^(-0.16))-0.00205+0.003*((Input!$B$6/7.5)^0.5)*(Input!$B$11^4)*Calculates!O3*(0.04-Calculates!AA3)</f>
        <v>0.00035249933476840445</v>
      </c>
      <c r="AC3" s="25">
        <f>1.45*Input!$B$10-0.315-0.0225*Input!$B$9</f>
        <v>0.5757999999999999</v>
      </c>
      <c r="AD3" s="25">
        <f>IF(Input!$B$7/Input!$B$17&lt;5,(Input!$B$7*Calculates!I3/(Input!$B$6*Input!$B$58*Input!$B$17)),(Calculates!I3*(7*Input!$B$7/Input!$B$17-25)/(Input!$B$6*Input!$B$58(Input!$B$7/Input!$B$17-3))))</f>
        <v>12.661793621013134</v>
      </c>
      <c r="AE3" s="25">
        <f>IF(AD3&lt;28,AD3,32-16/(AD3-24))</f>
        <v>12.661793621013134</v>
      </c>
      <c r="AF3" s="25">
        <f>IF(Input!$B$17/Input!$B$58&lt;2,Input!$B$17/Input!$B$58,0.0833333*((Input!$B$17/Input!$B$58)^3)+1.33333)</f>
        <v>1.098901098901099</v>
      </c>
      <c r="AG3" s="25">
        <f>H3*D3+AB3</f>
        <v>0.0028164524614248164</v>
      </c>
      <c r="AH3" s="25">
        <f>IF(Input!$B$6/Input!$B$7&gt;5.2,Input!$B$7/Input!$B$6,0.25-0.003328402/((Input!$B$7/Input!$B$6)-0.134615385))</f>
        <v>0.15609756097560976</v>
      </c>
      <c r="AI3" s="25">
        <f>0.5*D3*I3*(A3^2)*Input!$B$69</f>
        <v>2122.2981959625904</v>
      </c>
      <c r="AJ3" s="25">
        <f>IF(AK3=0,0,$BG$14/$BE$14)</f>
        <v>0</v>
      </c>
      <c r="AK3" s="21">
        <f>$BE$14</f>
        <v>0</v>
      </c>
      <c r="AL3" s="25">
        <f>0.5*AK3*AJ3*D3*(A3^2)*Input!$B$69+BH3</f>
        <v>0</v>
      </c>
      <c r="AM3" s="27">
        <f>M3*O3*P3*J3*9.81*EXP(S3*(B3^-0.9)+V3*COS(Q3*(B3^-2)))*Input!$B$69</f>
        <v>1.1338364063750442E-43</v>
      </c>
      <c r="AN3" s="25">
        <f>IF(Input!$B$14=0,0,0.11*EXP(-3*W3^-2)*(X3^3)*9.81*(Input!$B$14^1.5)*Input!$B$69/(1+(Calculates!X3^2)))</f>
        <v>0.01915741897024851</v>
      </c>
      <c r="AO3" s="25">
        <f>0.5*Z3*(A3^2)*Input!$B$69*Input!$B$19</f>
        <v>415.16966607800936</v>
      </c>
      <c r="AP3" s="25">
        <f>0.5*I3*AB3*(A3^2)*Input!$B$69</f>
        <v>352.91461141890346</v>
      </c>
      <c r="AQ3" s="27">
        <f>AI3*H3+AL3+AM3+AN3+AO3+AP3</f>
        <v>3234.9593250685634</v>
      </c>
      <c r="AR3" s="25">
        <f>IF(Input!$B$60=0.2,(0.001979*Input!$B$6/(Input!$B$7-Input!$B$7*Calculates!AC3)+1.0585*Calculates!AH3-0.00524-0.1418*(Input!$B$58^2)/(Input!$B$7*Input!$B$8)+0.0015*Input!$B$15),(0.325*Input!$B$11-0.1885*Input!$B$58/((Input!$B$7*Input!$B$8)^2)))</f>
        <v>0.16818085920204173</v>
      </c>
      <c r="AS3" s="25">
        <f>IF(Input!$B$60=0.2,(Calculates!AE3*Calculates!AG3*(Input!$B$6/Input!$B$17)*(0.0661875+1.21756*Calculates!AF3*Calculates!AG3/(1-Calculates!AC3))+0.24558*(Input!$B$7/(Input!$B$6*(1-Calculates!AC3)))^0.5-0.09726/(0.95-Input!$B$10)+0.11434/(0.95-Input!$B$11)+0.75*Input!$B$15*Calculates!AG3+0.002*Input!$B$15),(0.3095*Input!$B$11+10*Input!$B$11*Calculates!AG3-0.23*Input!$B$58/((Input!$B$7*Input!$B$8)^0.5)))</f>
        <v>0.28245007480791523</v>
      </c>
      <c r="AT3" s="25">
        <f>IF(Input!$B$60=0.2,(0.9922-0.05908*Calculates!AV3+0.07424*(Input!$B$10-0.0225*Input!$B$9)),(0.9737+0.111*(Input!$B$10-0.0225*Input!$B$9)-0.06325*Input!$B$57/Input!$B$58))</f>
        <v>1.0269894656842775</v>
      </c>
      <c r="AU3" s="25">
        <f>AQ3/(1-AR3)</f>
        <v>3889.0176558876606</v>
      </c>
      <c r="AV3" s="25">
        <f>Input!$B$60+(1.3+0.3*Input!$B$56)*AU3/((Input!$B$58^2)*(99047+Input!$B$69*9.81*(Input!$B$8-Input!$B$59)))</f>
        <v>0.20085752057756226</v>
      </c>
      <c r="AW3" s="25">
        <f>2.073*AV3*Input!$B$58/Input!$B$56</f>
        <v>0.7578073050862615</v>
      </c>
      <c r="AX3" s="25">
        <f>(0.0185-0.00125*Input!$B$56)*Input!$B$58/Calculates!AW3</f>
        <v>0.147102039333483</v>
      </c>
      <c r="AY3" s="25">
        <f>(2+4*AX3)*(0.003605-(1.89+1.62*LOG10(AW3/0.00003))^(-2.5))</f>
        <v>-0.00125600679936561</v>
      </c>
      <c r="AZ3" s="27">
        <f>AQ3*A3</f>
        <v>1664.2068513475124</v>
      </c>
      <c r="BA3" s="25">
        <f>AZ3/(AT3*0.99*Input!$B$61*(1-Calculates!AR3)/(1-Calculates!AS3))</f>
        <v>2241.2421766683074</v>
      </c>
      <c r="BB3" s="21">
        <f>Input!B39</f>
        <v>1.7</v>
      </c>
      <c r="BC3" s="14">
        <f>Input!C39</f>
        <v>0</v>
      </c>
      <c r="BD3" s="22">
        <f>Input!D39</f>
        <v>0</v>
      </c>
      <c r="BE3" s="22">
        <f>BD3*BC3</f>
        <v>0</v>
      </c>
      <c r="BG3" s="9">
        <f>BB3*BC3*BD3</f>
        <v>0</v>
      </c>
      <c r="BH3" s="25">
        <f>0.007*3.14*(A3^2)*(($BF$14^2)*$BD$14+($BF$15^2)*$BD$15)*Input!$B$69</f>
        <v>0</v>
      </c>
    </row>
    <row r="4" spans="1:60" ht="12.75">
      <c r="A4" s="21">
        <f>A3+(Input!$B$65-Input!$B$64)*0.5144444444/20</f>
        <v>1.13177777728</v>
      </c>
      <c r="B4" s="27">
        <f>A4/(9.81*Input!$B$6)^0.5</f>
        <v>0.025237697349736517</v>
      </c>
      <c r="C4" s="27">
        <f>A4*Input!$B$6/Input!$B$68</f>
        <v>195249048.50828916</v>
      </c>
      <c r="D4" s="25">
        <f aca="true" t="shared" si="0" ref="D4:D23">0.075/((LOG10(C4)-2)^2)</f>
        <v>0.001895303005214065</v>
      </c>
      <c r="E4" s="29">
        <f>(1-Input!$B$10+0.06*Input!$B$10*Input!$B$9/(4*Input!$B$10-1))*Input!$B$6</f>
        <v>74.61021171171173</v>
      </c>
      <c r="F4" s="30">
        <f>IF((Input!$B$8/Input!$B$6)&gt;0.05,((Input!$B$8/Input!$B$6)^0.2228446),(IF((Input!$B$8/Input!$B$6)&gt;0.02,(0.479948+48.2*(Input!$B$8/Input!$B$6-0.02)^2.078),0.479948)))</f>
        <v>0.5102208281235032</v>
      </c>
      <c r="G4" s="25">
        <f>1+0.003*Input!$B$15</f>
        <v>1.03</v>
      </c>
      <c r="H4" s="25">
        <f>G4*(0.93+F4*((Input!$B$7/E4)^0.92497)*((0.95-Input!$B$10)^(-0.521448))*((1-Input!$B$10+0.0225*Input!$B$9)^0.6906))</f>
        <v>1.1623512166412657</v>
      </c>
      <c r="I4" s="29">
        <f>IF(Input!$B$20&gt;0,Input!$B$20,Input!$B$6*(2*Input!$B$8+Input!$B$7)*(Input!$B$12^0.5)*(0.453+0.4425*Input!$B$11-0.2862*Input!$B$12-0.003467*(Input!$B$7/Input!$B$8)+0.3696*Input!$B$13)+2.38*Input!$B$14/Input!$B$11)</f>
        <v>7381.43</v>
      </c>
      <c r="J4" s="29">
        <f>Input!$B$6*Input!$B$7*Input!$B$8*Input!$B$11</f>
        <v>37523.2</v>
      </c>
      <c r="K4" s="31">
        <f>1+89*EXP(-1*((Input!$B$6/Input!$B$7)^0.80856)*((1-Input!$B$13)^0.30484)*((1-Input!$B$10-0.0225*Input!$B$9)^0.6367)*((Calculates!$E$3/Input!$B$7)^0.34574)*((100*Calculates!$J$3/(Input!$B$6^3))^0.16302))</f>
        <v>11.822355456040485</v>
      </c>
      <c r="L4" s="25">
        <f>IF(Input!$B$7/Input!$B$6&lt;0.11,(0.229577*(Input!$B$7/Input!$B$6)^0.33333),(IF(Input!$B$7/Input!$B$6&lt;0.25,(Input!$B$7/Input!$B$6),(0.5-0.0625*Input!$B$7/Input!$B$6))))</f>
        <v>0.15609756097560976</v>
      </c>
      <c r="M4" s="25">
        <f>2223105*(L4^3.78613)*((Input!$B$8/Input!$B$7)^1.07961)*((90-Calculates!K4)^(-1.37565))</f>
        <v>1.3914538154228873</v>
      </c>
      <c r="N4" s="25">
        <f>0.56*(Input!$B$14^1.5)/(Input!$B$7*Input!$B$8*(0.31*(Input!$B$14^0.5)+Input!$B$16-Input!$B$18))</f>
        <v>0.021191048493160156</v>
      </c>
      <c r="O4" s="25">
        <f aca="true" t="shared" si="1" ref="O4:O23">EXP(-1.89*(N4^0.5))</f>
        <v>0.7594733474184135</v>
      </c>
      <c r="P4" s="25">
        <f>1-0.8*Input!$B$19/(Input!$B$7*Input!$B$8*Input!$B$12)</f>
        <v>0.9591836734693877</v>
      </c>
      <c r="Q4" s="25">
        <f>IF(Input!$B$6/Input!$B$7&lt;12,(1.446*Input!$B$10-0.03*Input!$B$6/Input!$B$7),(1.446*Input!$B$10-0.36))</f>
        <v>0.6508305</v>
      </c>
      <c r="R4" s="25">
        <f>IF(Input!$B$10&lt;0.8,(8.07981*(Input!$B$10)-13.8673*(Input!$B$10^2)+6.984388*(Input!$B$10^3)),(1.73014-0.7067*Input!$B$10))</f>
        <v>1.3811799089593564</v>
      </c>
      <c r="S4" s="25">
        <f>0.0140407*(Input!$B$6/Input!$B$8)-1.75254*((Calculates!J4^(1/3))/Input!$B$6)-4.79323*(Input!$B$7/Input!$B$6)-Calculates!R4</f>
        <v>-2.12776436725836</v>
      </c>
      <c r="T4" s="25">
        <f>(Input!$B$6^3)/Calculates!J4</f>
        <v>229.59462412587413</v>
      </c>
      <c r="U4" s="25">
        <f aca="true" t="shared" si="2" ref="U4:U23">IF(T4&lt;512,(-1.69385),IF(T4&lt;1727,(-1.69385+(T4^(1/3))),0))</f>
        <v>-1.69385</v>
      </c>
      <c r="V4" s="25">
        <f>U4*(Input!$B$10^2)*EXP(-0.1*(Calculates!B4^(-2)))</f>
        <v>-3.76563668952232E-69</v>
      </c>
      <c r="W4" s="25">
        <f>0.56*(Input!$B$14^0.5)/(Input!$B$16-1.5*Input!$B$18)</f>
        <v>0.6260990336999412</v>
      </c>
      <c r="X4" s="25">
        <f>A4/((9.81*(Input!$B$16-Input!$B$18-0.25*(Input!$B$14^0.5))+0.15*Calculates!A4^2)^0.5)</f>
        <v>0.16321491875683408</v>
      </c>
      <c r="Y4" s="25">
        <f>IF(Input!$B$19=0,0,A4/(2*9.81*Input!$B$19/(Input!$B$7+Input!$B$7*Input!$B$13))^0.5)</f>
        <v>0.4780195765831009</v>
      </c>
      <c r="Z4" s="25">
        <f aca="true" t="shared" si="3" ref="Z4:Z23">IF(Y4&lt;5,(0.2*(1-0.2*Y4)),0)</f>
        <v>0.18087921693667597</v>
      </c>
      <c r="AA4" s="25">
        <f>IF(Input!$B$16/Input!$B$6&gt;0.04,0.04,Input!$B$16/Input!$B$6)</f>
        <v>0.04</v>
      </c>
      <c r="AB4" s="25">
        <f>0.006*((Input!$B$6+100)^(-0.16))-0.00205+0.003*((Input!$B$6/7.5)^0.5)*(Input!$B$11^4)*Calculates!O4*(0.04-Calculates!AA4)</f>
        <v>0.00035249933476840445</v>
      </c>
      <c r="AC4" s="25">
        <f>1.45*Input!$B$10-0.315-0.0225*Input!$B$9</f>
        <v>0.5757999999999999</v>
      </c>
      <c r="AD4" s="25">
        <f>IF(Input!$B$7/Input!$B$17&lt;5,(Input!$B$7*Calculates!I4/(Input!$B$6*Input!$B$58*Input!$B$17)),(Calculates!I4*(7*Input!$B$7/Input!$B$17-25)/(Input!$B$6*Input!$B$58(Input!$B$7/Input!$B$17-3))))</f>
        <v>12.661793621013134</v>
      </c>
      <c r="AE4" s="25">
        <f aca="true" t="shared" si="4" ref="AE4:AE23">IF(AD4&lt;28,AD4,32-16/(AD4-24))</f>
        <v>12.661793621013134</v>
      </c>
      <c r="AF4" s="25">
        <f>IF(Input!$B$17/Input!$B$58&lt;2,Input!$B$17/Input!$B$58,0.0833333*((Input!$B$17/Input!$B$58)^3)+1.33333)</f>
        <v>1.098901098901099</v>
      </c>
      <c r="AG4" s="25">
        <f aca="true" t="shared" si="5" ref="AG4:AG23">H4*D4+AB4</f>
        <v>0.00255550708878282</v>
      </c>
      <c r="AH4" s="25">
        <f>IF(Input!$B$6/Input!$B$7&gt;5.2,Input!$B$7/Input!$B$6,0.25-0.003328402/((Input!$B$7/Input!$B$6)-0.134615385))</f>
        <v>0.15609756097560976</v>
      </c>
      <c r="AI4" s="25">
        <f>0.5*D4*I4*(A4^2)*Input!$B$69</f>
        <v>9184.073505066404</v>
      </c>
      <c r="AJ4" s="25">
        <f aca="true" t="shared" si="6" ref="AJ4:AJ23">IF(AK4=0,0,$BG$14/$BE$14)</f>
        <v>0</v>
      </c>
      <c r="AK4" s="21">
        <f aca="true" t="shared" si="7" ref="AK4:AK23">$BE$14</f>
        <v>0</v>
      </c>
      <c r="AL4" s="25">
        <f>0.5*AK4*AJ4*D4*(A4^2)*Input!$B$69+BH4</f>
        <v>0</v>
      </c>
      <c r="AM4" s="27">
        <f>M4*O4*P4*J4*9.81*EXP(S4*(B4^-0.9)+V4*COS(Q4*(B4^-2)))*Input!$B$69</f>
        <v>1.7349235102638215E-17</v>
      </c>
      <c r="AN4" s="25">
        <f>IF(Input!$B$14=0,0,0.11*EXP(-3*W4^-2)*(X4^3)*9.81*(Input!$B$14^1.5)*Input!$B$69/(1+(Calculates!X4^2)))</f>
        <v>0.19884288096582484</v>
      </c>
      <c r="AO4" s="25">
        <f>0.5*Z4*(A4^2)*Input!$B$69*Input!$B$19</f>
        <v>1899.87420376215</v>
      </c>
      <c r="AP4" s="25">
        <f>0.5*I4*AB4*(A4^2)*Input!$B$69</f>
        <v>1708.1067207163483</v>
      </c>
      <c r="AQ4" s="27">
        <f aca="true" t="shared" si="8" ref="AQ4:AQ23">AI4*H4+AL4+AM4+AN4+AO4+AP4</f>
        <v>14283.298779696213</v>
      </c>
      <c r="AR4" s="25">
        <f>IF(Input!$B$60=0.2,(0.001979*Input!$B$6/(Input!$B$7-Input!$B$7*Calculates!AC4)+1.0585*Calculates!AH4-0.00524-0.1418*(Input!$B$58^2)/(Input!$B$7*Input!$B$8)+0.0015*Input!$B$15),(0.325*Input!$B$11-0.1885*Input!$B$58/((Input!$B$7*Input!$B$8)^2)))</f>
        <v>0.16818085920204173</v>
      </c>
      <c r="AS4" s="25">
        <f>IF(Input!$B$60=0.2,(Calculates!AE4*Calculates!AG4*(Input!$B$6/Input!$B$17)*(0.0661875+1.21756*Calculates!AF4*Calculates!AG4/(1-Calculates!AC4))+0.24558*(Input!$B$7/(Input!$B$6*(1-Calculates!AC4)))^0.5-0.09726/(0.95-Input!$B$10)+0.11434/(0.95-Input!$B$11)+0.75*Input!$B$15*Calculates!AG4+0.002*Input!$B$15),(0.3095*Input!$B$11+10*Input!$B$11*Calculates!AG4-0.23*Input!$B$58/((Input!$B$7*Input!$B$8)^0.5)))</f>
        <v>0.2748622725603811</v>
      </c>
      <c r="AT4" s="25">
        <f>IF(Input!$B$60=0.2,(0.9922-0.05908*Calculates!AV4+0.07424*(Input!$B$10-0.0225*Input!$B$9)),(0.9737+0.111*(Input!$B$10-0.0225*Input!$B$9)-0.06325*Input!$B$57/Input!$B$58))</f>
        <v>1.026816438945635</v>
      </c>
      <c r="AU4" s="25">
        <f aca="true" t="shared" si="9" ref="AU4:AU23">AQ4/(1-AR4)</f>
        <v>17171.159064690848</v>
      </c>
      <c r="AV4" s="25">
        <f>Input!$B$60+(1.3+0.3*Input!$B$56)*AU4/((Input!$B$58^2)*(99047+Input!$B$69*9.81*(Input!$B$8-Input!$B$59)))</f>
        <v>0.20378620606575928</v>
      </c>
      <c r="AW4" s="25">
        <f>2.073*AV4*Input!$B$58/Input!$B$56</f>
        <v>0.7688568254172605</v>
      </c>
      <c r="AX4" s="25">
        <f>(0.0185-0.00125*Input!$B$56)*Input!$B$58/Calculates!AW4</f>
        <v>0.14498798256684817</v>
      </c>
      <c r="AY4" s="25">
        <f aca="true" t="shared" si="10" ref="AY4:AY23">(2+4*AX4)*(0.003605-(1.89+1.62*LOG10(AW4/0.00003))^(-2.5))</f>
        <v>-0.0012221813496785439</v>
      </c>
      <c r="AZ4" s="27">
        <f aca="true" t="shared" si="11" ref="AZ4:AZ23">AQ4*A4</f>
        <v>16165.520145110717</v>
      </c>
      <c r="BA4" s="25">
        <f>AZ4/(AT4*0.99*Input!$B$61*(1-Calculates!AR4)/(1-Calculates!AS4))</f>
        <v>22004.561459540975</v>
      </c>
      <c r="BB4" s="21">
        <f>Input!B40</f>
        <v>1.4</v>
      </c>
      <c r="BC4" s="14">
        <f>Input!C40</f>
        <v>0</v>
      </c>
      <c r="BD4" s="22">
        <f>Input!D40</f>
        <v>0</v>
      </c>
      <c r="BE4" s="22">
        <f aca="true" t="shared" si="12" ref="BE4:BE13">BD4*BC4</f>
        <v>0</v>
      </c>
      <c r="BG4" s="9">
        <f aca="true" t="shared" si="13" ref="BG4:BG13">BB4*BC4*BD4</f>
        <v>0</v>
      </c>
      <c r="BH4" s="25">
        <f>0.007*3.14*(A4^2)*(($BF$14^2)*$BD$14+($BF$15^2)*$BD$15)*Input!$B$69</f>
        <v>0</v>
      </c>
    </row>
    <row r="5" spans="1:60" ht="12.75">
      <c r="A5" s="21">
        <f>A4+(Input!$B$65-Input!$B$64)*0.5144444444/20</f>
        <v>1.74911111056</v>
      </c>
      <c r="B5" s="27">
        <f>A5/(9.81*Input!$B$6)^0.5</f>
        <v>0.039003714090821706</v>
      </c>
      <c r="C5" s="27">
        <f>A5*Input!$B$6/Input!$B$68</f>
        <v>301748529.5504502</v>
      </c>
      <c r="D5" s="25">
        <f t="shared" si="0"/>
        <v>0.0017863181705267477</v>
      </c>
      <c r="E5" s="29">
        <f>(1-Input!$B$10+0.06*Input!$B$10*Input!$B$9/(4*Input!$B$10-1))*Input!$B$6</f>
        <v>74.61021171171173</v>
      </c>
      <c r="F5" s="30">
        <f>IF((Input!$B$8/Input!$B$6)&gt;0.05,((Input!$B$8/Input!$B$6)^0.2228446),(IF((Input!$B$8/Input!$B$6)&gt;0.02,(0.479948+48.2*(Input!$B$8/Input!$B$6-0.02)^2.078),0.479948)))</f>
        <v>0.5102208281235032</v>
      </c>
      <c r="G5" s="25">
        <f>1+0.003*Input!$B$15</f>
        <v>1.03</v>
      </c>
      <c r="H5" s="25">
        <f>G5*(0.93+F5*((Input!$B$7/E5)^0.92497)*((0.95-Input!$B$10)^(-0.521448))*((1-Input!$B$10+0.0225*Input!$B$9)^0.6906))</f>
        <v>1.1623512166412657</v>
      </c>
      <c r="I5" s="29">
        <f>IF(Input!$B$20&gt;0,Input!$B$20,Input!$B$6*(2*Input!$B$8+Input!$B$7)*(Input!$B$12^0.5)*(0.453+0.4425*Input!$B$11-0.2862*Input!$B$12-0.003467*(Input!$B$7/Input!$B$8)+0.3696*Input!$B$13)+2.38*Input!$B$14/Input!$B$11)</f>
        <v>7381.43</v>
      </c>
      <c r="J5" s="29">
        <f>Input!$B$6*Input!$B$7*Input!$B$8*Input!$B$11</f>
        <v>37523.2</v>
      </c>
      <c r="K5" s="31">
        <f>1+89*EXP(-1*((Input!$B$6/Input!$B$7)^0.80856)*((1-Input!$B$13)^0.30484)*((1-Input!$B$10-0.0225*Input!$B$9)^0.6367)*((Calculates!$E$3/Input!$B$7)^0.34574)*((100*Calculates!$J$3/(Input!$B$6^3))^0.16302))</f>
        <v>11.822355456040485</v>
      </c>
      <c r="L5" s="25">
        <f>IF(Input!$B$7/Input!$B$6&lt;0.11,(0.229577*(Input!$B$7/Input!$B$6)^0.33333),(IF(Input!$B$7/Input!$B$6&lt;0.25,(Input!$B$7/Input!$B$6),(0.5-0.0625*Input!$B$7/Input!$B$6))))</f>
        <v>0.15609756097560976</v>
      </c>
      <c r="M5" s="25">
        <f>2223105*(L5^3.78613)*((Input!$B$8/Input!$B$7)^1.07961)*((90-Calculates!K5)^(-1.37565))</f>
        <v>1.3914538154228873</v>
      </c>
      <c r="N5" s="25">
        <f>0.56*(Input!$B$14^1.5)/(Input!$B$7*Input!$B$8*(0.31*(Input!$B$14^0.5)+Input!$B$16-Input!$B$18))</f>
        <v>0.021191048493160156</v>
      </c>
      <c r="O5" s="25">
        <f t="shared" si="1"/>
        <v>0.7594733474184135</v>
      </c>
      <c r="P5" s="25">
        <f>1-0.8*Input!$B$19/(Input!$B$7*Input!$B$8*Input!$B$12)</f>
        <v>0.9591836734693877</v>
      </c>
      <c r="Q5" s="25">
        <f>IF(Input!$B$6/Input!$B$7&lt;12,(1.446*Input!$B$10-0.03*Input!$B$6/Input!$B$7),(1.446*Input!$B$10-0.36))</f>
        <v>0.6508305</v>
      </c>
      <c r="R5" s="25">
        <f>IF(Input!$B$10&lt;0.8,(8.07981*(Input!$B$10)-13.8673*(Input!$B$10^2)+6.984388*(Input!$B$10^3)),(1.73014-0.7067*Input!$B$10))</f>
        <v>1.3811799089593564</v>
      </c>
      <c r="S5" s="25">
        <f>0.0140407*(Input!$B$6/Input!$B$8)-1.75254*((Calculates!J5^(1/3))/Input!$B$6)-4.79323*(Input!$B$7/Input!$B$6)-Calculates!R5</f>
        <v>-2.12776436725836</v>
      </c>
      <c r="T5" s="25">
        <f>(Input!$B$6^3)/Calculates!J5</f>
        <v>229.59462412587413</v>
      </c>
      <c r="U5" s="25">
        <f t="shared" si="2"/>
        <v>-1.69385</v>
      </c>
      <c r="V5" s="25">
        <f>U5*(Input!$B$10^2)*EXP(-0.1*(Calculates!B5^(-2)))</f>
        <v>-1.6309074984902172E-29</v>
      </c>
      <c r="W5" s="25">
        <f>0.56*(Input!$B$14^0.5)/(Input!$B$16-1.5*Input!$B$18)</f>
        <v>0.6260990336999412</v>
      </c>
      <c r="X5" s="25">
        <f>A5/((9.81*(Input!$B$16-Input!$B$18-0.25*(Input!$B$14^0.5))+0.15*Calculates!A5^2)^0.5)</f>
        <v>0.2515444215602427</v>
      </c>
      <c r="Y5" s="25">
        <f>IF(Input!$B$19=0,0,A5/(2*9.81*Input!$B$19/(Input!$B$7+Input!$B$7*Input!$B$13))^0.5)</f>
        <v>0.7387575275387621</v>
      </c>
      <c r="Z5" s="25">
        <f t="shared" si="3"/>
        <v>0.17044969889844952</v>
      </c>
      <c r="AA5" s="25">
        <f>IF(Input!$B$16/Input!$B$6&gt;0.04,0.04,Input!$B$16/Input!$B$6)</f>
        <v>0.04</v>
      </c>
      <c r="AB5" s="25">
        <f>0.006*((Input!$B$6+100)^(-0.16))-0.00205+0.003*((Input!$B$6/7.5)^0.5)*(Input!$B$11^4)*Calculates!O5*(0.04-Calculates!AA5)</f>
        <v>0.00035249933476840445</v>
      </c>
      <c r="AC5" s="25">
        <f>1.45*Input!$B$10-0.315-0.0225*Input!$B$9</f>
        <v>0.5757999999999999</v>
      </c>
      <c r="AD5" s="25">
        <f>IF(Input!$B$7/Input!$B$17&lt;5,(Input!$B$7*Calculates!I5/(Input!$B$6*Input!$B$58*Input!$B$17)),(Calculates!I5*(7*Input!$B$7/Input!$B$17-25)/(Input!$B$6*Input!$B$58(Input!$B$7/Input!$B$17-3))))</f>
        <v>12.661793621013134</v>
      </c>
      <c r="AE5" s="25">
        <f t="shared" si="4"/>
        <v>12.661793621013134</v>
      </c>
      <c r="AF5" s="25">
        <f>IF(Input!$B$17/Input!$B$58&lt;2,Input!$B$17/Input!$B$58,0.0833333*((Input!$B$17/Input!$B$58)^3)+1.33333)</f>
        <v>1.098901098901099</v>
      </c>
      <c r="AG5" s="25">
        <f t="shared" si="5"/>
        <v>0.0024288284335885696</v>
      </c>
      <c r="AH5" s="25">
        <f>IF(Input!$B$6/Input!$B$7&gt;5.2,Input!$B$7/Input!$B$6,0.25-0.003328402/((Input!$B$7/Input!$B$6)-0.134615385))</f>
        <v>0.15609756097560976</v>
      </c>
      <c r="AI5" s="25">
        <f>0.5*D5*I5*(A5^2)*Input!$B$69</f>
        <v>20674.16548323898</v>
      </c>
      <c r="AJ5" s="25">
        <f t="shared" si="6"/>
        <v>0</v>
      </c>
      <c r="AK5" s="21">
        <f t="shared" si="7"/>
        <v>0</v>
      </c>
      <c r="AL5" s="25">
        <f>0.5*AK5*AJ5*D5*(A5^2)*Input!$B$69+BH5</f>
        <v>0</v>
      </c>
      <c r="AM5" s="27">
        <f>M5*O5*P5*J5*9.81*EXP(S5*(B5^-0.9)+V5*COS(Q5*(B5^-2)))*Input!$B$69</f>
        <v>2.8467300398810654E-09</v>
      </c>
      <c r="AN5" s="25">
        <f>IF(Input!$B$14=0,0,0.11*EXP(-3*W5^-2)*(X5^3)*9.81*(Input!$B$14^1.5)*Input!$B$69/(1+(Calculates!X5^2)))</f>
        <v>0.7028245541886081</v>
      </c>
      <c r="AO5" s="25">
        <f>0.5*Z5*(A5^2)*Input!$B$69*Input!$B$19</f>
        <v>4276.070804030948</v>
      </c>
      <c r="AP5" s="25">
        <f>0.5*I5*AB5*(A5^2)*Input!$B$69</f>
        <v>4079.6929124808044</v>
      </c>
      <c r="AQ5" s="27">
        <f t="shared" si="8"/>
        <v>32387.107943554478</v>
      </c>
      <c r="AR5" s="25">
        <f>IF(Input!$B$60=0.2,(0.001979*Input!$B$6/(Input!$B$7-Input!$B$7*Calculates!AC5)+1.0585*Calculates!AH5-0.00524-0.1418*(Input!$B$58^2)/(Input!$B$7*Input!$B$8)+0.0015*Input!$B$15),(0.325*Input!$B$11-0.1885*Input!$B$58/((Input!$B$7*Input!$B$8)^2)))</f>
        <v>0.16818085920204173</v>
      </c>
      <c r="AS5" s="25">
        <f>IF(Input!$B$60=0.2,(Calculates!AE5*Calculates!AG5*(Input!$B$6/Input!$B$17)*(0.0661875+1.21756*Calculates!AF5*Calculates!AG5/(1-Calculates!AC5))+0.24558*(Input!$B$7/(Input!$B$6*(1-Calculates!AC5)))^0.5-0.09726/(0.95-Input!$B$10)+0.11434/(0.95-Input!$B$11)+0.75*Input!$B$15*Calculates!AG5+0.002*Input!$B$15),(0.3095*Input!$B$11+10*Input!$B$11*Calculates!AG5-0.23*Input!$B$58/((Input!$B$7*Input!$B$8)^0.5)))</f>
        <v>0.27121889618287104</v>
      </c>
      <c r="AT5" s="25">
        <f>IF(Input!$B$60=0.2,(0.9922-0.05908*Calculates!AV5+0.07424*(Input!$B$10-0.0225*Input!$B$9)),(0.9737+0.111*(Input!$B$10-0.0225*Input!$B$9)-0.06325*Input!$B$57/Input!$B$58))</f>
        <v>1.0265329173296043</v>
      </c>
      <c r="AU5" s="25">
        <f t="shared" si="9"/>
        <v>38935.276137653855</v>
      </c>
      <c r="AV5" s="25">
        <f>Input!$B$60+(1.3+0.3*Input!$B$56)*AU5/((Input!$B$58^2)*(99047+Input!$B$69*9.81*(Input!$B$8-Input!$B$59)))</f>
        <v>0.20858515014210846</v>
      </c>
      <c r="AW5" s="25">
        <f>2.073*AV5*Input!$B$58/Input!$B$56</f>
        <v>0.7869625695651552</v>
      </c>
      <c r="AX5" s="25">
        <f>(0.0185-0.00125*Input!$B$56)*Input!$B$58/Calculates!AW5</f>
        <v>0.14165222630803995</v>
      </c>
      <c r="AY5" s="25">
        <f t="shared" si="10"/>
        <v>-0.0011685602281589571</v>
      </c>
      <c r="AZ5" s="27">
        <f t="shared" si="11"/>
        <v>56648.65034297717</v>
      </c>
      <c r="BA5" s="25">
        <f>AZ5/(AT5*0.99*Input!$B$61*(1-Calculates!AR5)/(1-Calculates!AS5))</f>
        <v>77519.17407029995</v>
      </c>
      <c r="BB5" s="21">
        <f>Input!B41</f>
        <v>2.8</v>
      </c>
      <c r="BC5" s="14">
        <f>Input!C41</f>
        <v>0</v>
      </c>
      <c r="BD5" s="22">
        <f>Input!D41</f>
        <v>0</v>
      </c>
      <c r="BE5" s="22">
        <f t="shared" si="12"/>
        <v>0</v>
      </c>
      <c r="BG5" s="9">
        <f t="shared" si="13"/>
        <v>0</v>
      </c>
      <c r="BH5" s="25">
        <f>0.007*3.14*(A5^2)*(($BF$14^2)*$BD$14+($BF$15^2)*$BD$15)*Input!$B$69</f>
        <v>0</v>
      </c>
    </row>
    <row r="6" spans="1:60" ht="12.75">
      <c r="A6" s="21">
        <f>A5+(Input!$B$65-Input!$B$64)*0.5144444444/20</f>
        <v>2.36644444384</v>
      </c>
      <c r="B6" s="27">
        <f>A6/(9.81*Input!$B$6)^0.5</f>
        <v>0.0527697308319069</v>
      </c>
      <c r="C6" s="27">
        <f>A6*Input!$B$6/Input!$B$68</f>
        <v>408248010.5926113</v>
      </c>
      <c r="D6" s="25">
        <f t="shared" si="0"/>
        <v>0.001716077607105949</v>
      </c>
      <c r="E6" s="29">
        <f>(1-Input!$B$10+0.06*Input!$B$10*Input!$B$9/(4*Input!$B$10-1))*Input!$B$6</f>
        <v>74.61021171171173</v>
      </c>
      <c r="F6" s="30">
        <f>IF((Input!$B$8/Input!$B$6)&gt;0.05,((Input!$B$8/Input!$B$6)^0.2228446),(IF((Input!$B$8/Input!$B$6)&gt;0.02,(0.479948+48.2*(Input!$B$8/Input!$B$6-0.02)^2.078),0.479948)))</f>
        <v>0.5102208281235032</v>
      </c>
      <c r="G6" s="25">
        <f>1+0.003*Input!$B$15</f>
        <v>1.03</v>
      </c>
      <c r="H6" s="25">
        <f>G6*(0.93+F6*((Input!$B$7/E6)^0.92497)*((0.95-Input!$B$10)^(-0.521448))*((1-Input!$B$10+0.0225*Input!$B$9)^0.6906))</f>
        <v>1.1623512166412657</v>
      </c>
      <c r="I6" s="29">
        <f>IF(Input!$B$20&gt;0,Input!$B$20,Input!$B$6*(2*Input!$B$8+Input!$B$7)*(Input!$B$12^0.5)*(0.453+0.4425*Input!$B$11-0.2862*Input!$B$12-0.003467*(Input!$B$7/Input!$B$8)+0.3696*Input!$B$13)+2.38*Input!$B$14/Input!$B$11)</f>
        <v>7381.43</v>
      </c>
      <c r="J6" s="29">
        <f>Input!$B$6*Input!$B$7*Input!$B$8*Input!$B$11</f>
        <v>37523.2</v>
      </c>
      <c r="K6" s="31">
        <f>1+89*EXP(-1*((Input!$B$6/Input!$B$7)^0.80856)*((1-Input!$B$13)^0.30484)*((1-Input!$B$10-0.0225*Input!$B$9)^0.6367)*((Calculates!$E$3/Input!$B$7)^0.34574)*((100*Calculates!$J$3/(Input!$B$6^3))^0.16302))</f>
        <v>11.822355456040485</v>
      </c>
      <c r="L6" s="25">
        <f>IF(Input!$B$7/Input!$B$6&lt;0.11,(0.229577*(Input!$B$7/Input!$B$6)^0.33333),(IF(Input!$B$7/Input!$B$6&lt;0.25,(Input!$B$7/Input!$B$6),(0.5-0.0625*Input!$B$7/Input!$B$6))))</f>
        <v>0.15609756097560976</v>
      </c>
      <c r="M6" s="25">
        <f>2223105*(L6^3.78613)*((Input!$B$8/Input!$B$7)^1.07961)*((90-Calculates!K6)^(-1.37565))</f>
        <v>1.3914538154228873</v>
      </c>
      <c r="N6" s="25">
        <f>0.56*(Input!$B$14^1.5)/(Input!$B$7*Input!$B$8*(0.31*(Input!$B$14^0.5)+Input!$B$16-Input!$B$18))</f>
        <v>0.021191048493160156</v>
      </c>
      <c r="O6" s="25">
        <f t="shared" si="1"/>
        <v>0.7594733474184135</v>
      </c>
      <c r="P6" s="25">
        <f>1-0.8*Input!$B$19/(Input!$B$7*Input!$B$8*Input!$B$12)</f>
        <v>0.9591836734693877</v>
      </c>
      <c r="Q6" s="25">
        <f>IF(Input!$B$6/Input!$B$7&lt;12,(1.446*Input!$B$10-0.03*Input!$B$6/Input!$B$7),(1.446*Input!$B$10-0.36))</f>
        <v>0.6508305</v>
      </c>
      <c r="R6" s="25">
        <f>IF(Input!$B$10&lt;0.8,(8.07981*(Input!$B$10)-13.8673*(Input!$B$10^2)+6.984388*(Input!$B$10^3)),(1.73014-0.7067*Input!$B$10))</f>
        <v>1.3811799089593564</v>
      </c>
      <c r="S6" s="25">
        <f>0.0140407*(Input!$B$6/Input!$B$8)-1.75254*((Calculates!J6^(1/3))/Input!$B$6)-4.79323*(Input!$B$7/Input!$B$6)-Calculates!R6</f>
        <v>-2.12776436725836</v>
      </c>
      <c r="T6" s="25">
        <f>(Input!$B$6^3)/Calculates!J6</f>
        <v>229.59462412587413</v>
      </c>
      <c r="U6" s="25">
        <f t="shared" si="2"/>
        <v>-1.69385</v>
      </c>
      <c r="V6" s="25">
        <f>U6*(Input!$B$10^2)*EXP(-0.1*(Calculates!B6^(-2)))</f>
        <v>-1.4593666140425474E-16</v>
      </c>
      <c r="W6" s="25">
        <f>0.56*(Input!$B$14^0.5)/(Input!$B$16-1.5*Input!$B$18)</f>
        <v>0.6260990336999412</v>
      </c>
      <c r="X6" s="25">
        <f>A6/((9.81*(Input!$B$16-Input!$B$18-0.25*(Input!$B$14^0.5))+0.15*Calculates!A6^2)^0.5)</f>
        <v>0.3389914698013806</v>
      </c>
      <c r="Y6" s="25">
        <f>IF(Input!$B$19=0,0,A6/(2*9.81*Input!$B$19/(Input!$B$7+Input!$B$7*Input!$B$13))^0.5)</f>
        <v>0.9994954784944233</v>
      </c>
      <c r="Z6" s="25">
        <f t="shared" si="3"/>
        <v>0.16002018086022307</v>
      </c>
      <c r="AA6" s="25">
        <f>IF(Input!$B$16/Input!$B$6&gt;0.04,0.04,Input!$B$16/Input!$B$6)</f>
        <v>0.04</v>
      </c>
      <c r="AB6" s="25">
        <f>0.006*((Input!$B$6+100)^(-0.16))-0.00205+0.003*((Input!$B$6/7.5)^0.5)*(Input!$B$11^4)*Calculates!O6*(0.04-Calculates!AA6)</f>
        <v>0.00035249933476840445</v>
      </c>
      <c r="AC6" s="25">
        <f>1.45*Input!$B$10-0.315-0.0225*Input!$B$9</f>
        <v>0.5757999999999999</v>
      </c>
      <c r="AD6" s="25">
        <f>IF(Input!$B$7/Input!$B$17&lt;5,(Input!$B$7*Calculates!I6/(Input!$B$6*Input!$B$58*Input!$B$17)),(Calculates!I6*(7*Input!$B$7/Input!$B$17-25)/(Input!$B$6*Input!$B$58(Input!$B$7/Input!$B$17-3))))</f>
        <v>12.661793621013134</v>
      </c>
      <c r="AE6" s="25">
        <f t="shared" si="4"/>
        <v>12.661793621013134</v>
      </c>
      <c r="AF6" s="25">
        <f>IF(Input!$B$17/Input!$B$58&lt;2,Input!$B$17/Input!$B$58,0.0833333*((Input!$B$17/Input!$B$58)^3)+1.33333)</f>
        <v>1.098901098901099</v>
      </c>
      <c r="AG6" s="25">
        <f t="shared" si="5"/>
        <v>0.0023471842292388362</v>
      </c>
      <c r="AH6" s="25">
        <f>IF(Input!$B$6/Input!$B$7&gt;5.2,Input!$B$7/Input!$B$6,0.25-0.003328402/((Input!$B$7/Input!$B$6)-0.134615385))</f>
        <v>0.15609756097560976</v>
      </c>
      <c r="AI6" s="25">
        <f>0.5*D6*I6*(A6^2)*Input!$B$69</f>
        <v>36354.98132591401</v>
      </c>
      <c r="AJ6" s="25">
        <f t="shared" si="6"/>
        <v>0</v>
      </c>
      <c r="AK6" s="21">
        <f t="shared" si="7"/>
        <v>0</v>
      </c>
      <c r="AL6" s="25">
        <f>0.5*AK6*AJ6*D6*(A6^2)*Input!$B$69+BH6</f>
        <v>0</v>
      </c>
      <c r="AM6" s="27">
        <f>M6*O6*P6*J6*9.81*EXP(S6*(B6^-0.9)+V6*COS(Q6*(B6^-2)))*Input!$B$69</f>
        <v>3.420187789595474E-05</v>
      </c>
      <c r="AN6" s="25">
        <f>IF(Input!$B$14=0,0,0.11*EXP(-3*W6^-2)*(X6^3)*9.81*(Input!$B$14^1.5)*Input!$B$69/(1+(Calculates!X6^2)))</f>
        <v>1.6404868712106708</v>
      </c>
      <c r="AO6" s="25">
        <f>0.5*Z6*(A6^2)*Input!$B$69*Input!$B$19</f>
        <v>7348.204524100488</v>
      </c>
      <c r="AP6" s="25">
        <f>0.5*I6*AB6*(A6^2)*Input!$B$69</f>
        <v>7467.673186712273</v>
      </c>
      <c r="AQ6" s="27">
        <f t="shared" si="8"/>
        <v>57074.77500703249</v>
      </c>
      <c r="AR6" s="25">
        <f>IF(Input!$B$60=0.2,(0.001979*Input!$B$6/(Input!$B$7-Input!$B$7*Calculates!AC6)+1.0585*Calculates!AH6-0.00524-0.1418*(Input!$B$58^2)/(Input!$B$7*Input!$B$8)+0.0015*Input!$B$15),(0.325*Input!$B$11-0.1885*Input!$B$58/((Input!$B$7*Input!$B$8)^2)))</f>
        <v>0.16818085920204173</v>
      </c>
      <c r="AS6" s="25">
        <f>IF(Input!$B$60=0.2,(Calculates!AE6*Calculates!AG6*(Input!$B$6/Input!$B$17)*(0.0661875+1.21756*Calculates!AF6*Calculates!AG6/(1-Calculates!AC6))+0.24558*(Input!$B$7/(Input!$B$6*(1-Calculates!AC6)))^0.5-0.09726/(0.95-Input!$B$10)+0.11434/(0.95-Input!$B$11)+0.75*Input!$B$15*Calculates!AG6+0.002*Input!$B$15),(0.3095*Input!$B$11+10*Input!$B$11*Calculates!AG6-0.23*Input!$B$58/((Input!$B$7*Input!$B$8)^0.5)))</f>
        <v>0.2688846703645487</v>
      </c>
      <c r="AT6" s="25">
        <f>IF(Input!$B$60=0.2,(0.9922-0.05908*Calculates!AV6+0.07424*(Input!$B$10-0.0225*Input!$B$9)),(0.9737+0.111*(Input!$B$10-0.0225*Input!$B$9)-0.06325*Input!$B$57/Input!$B$58))</f>
        <v>1.0261462866930064</v>
      </c>
      <c r="AU6" s="25">
        <f t="shared" si="9"/>
        <v>68614.40451139542</v>
      </c>
      <c r="AV6" s="25">
        <f>Input!$B$60+(1.3+0.3*Input!$B$56)*AU6/((Input!$B$58^2)*(99047+Input!$B$69*9.81*(Input!$B$8-Input!$B$59)))</f>
        <v>0.21512933830388367</v>
      </c>
      <c r="AW6" s="25">
        <f>2.073*AV6*Input!$B$58/Input!$B$56</f>
        <v>0.8116528753131906</v>
      </c>
      <c r="AX6" s="25">
        <f>(0.0185-0.00125*Input!$B$56)*Input!$B$58/Calculates!AW6</f>
        <v>0.1373431960762603</v>
      </c>
      <c r="AY6" s="25">
        <f t="shared" si="10"/>
        <v>-0.0010988146433015646</v>
      </c>
      <c r="AZ6" s="27">
        <f t="shared" si="11"/>
        <v>135064.2841988101</v>
      </c>
      <c r="BA6" s="25">
        <f>AZ6/(AT6*0.99*Input!$B$61*(1-Calculates!AR6)/(1-Calculates!AS6))</f>
        <v>185486.57403083824</v>
      </c>
      <c r="BB6" s="21">
        <f>Input!B42</f>
        <v>3</v>
      </c>
      <c r="BC6" s="14">
        <f>Input!C42</f>
        <v>0</v>
      </c>
      <c r="BD6" s="22">
        <f>Input!D42</f>
        <v>0</v>
      </c>
      <c r="BE6" s="22">
        <f t="shared" si="12"/>
        <v>0</v>
      </c>
      <c r="BG6" s="9">
        <f t="shared" si="13"/>
        <v>0</v>
      </c>
      <c r="BH6" s="25">
        <f>0.007*3.14*(A6^2)*(($BF$14^2)*$BD$14+($BF$15^2)*$BD$15)*Input!$B$69</f>
        <v>0</v>
      </c>
    </row>
    <row r="7" spans="1:60" ht="12.75">
      <c r="A7" s="21">
        <f>A6+(Input!$B$65-Input!$B$64)*0.5144444444/20</f>
        <v>2.98377777712</v>
      </c>
      <c r="B7" s="27">
        <f>A7/(9.81*Input!$B$6)^0.5</f>
        <v>0.06653574757299209</v>
      </c>
      <c r="C7" s="27">
        <f>A7*Input!$B$6/Input!$B$68</f>
        <v>514747491.63477236</v>
      </c>
      <c r="D7" s="25">
        <f t="shared" si="0"/>
        <v>0.0016649832861041708</v>
      </c>
      <c r="E7" s="29">
        <f>(1-Input!$B$10+0.06*Input!$B$10*Input!$B$9/(4*Input!$B$10-1))*Input!$B$6</f>
        <v>74.61021171171173</v>
      </c>
      <c r="F7" s="30">
        <f>IF((Input!$B$8/Input!$B$6)&gt;0.05,((Input!$B$8/Input!$B$6)^0.2228446),(IF((Input!$B$8/Input!$B$6)&gt;0.02,(0.479948+48.2*(Input!$B$8/Input!$B$6-0.02)^2.078),0.479948)))</f>
        <v>0.5102208281235032</v>
      </c>
      <c r="G7" s="25">
        <f>1+0.003*Input!$B$15</f>
        <v>1.03</v>
      </c>
      <c r="H7" s="25">
        <f>G7*(0.93+F7*((Input!$B$7/E7)^0.92497)*((0.95-Input!$B$10)^(-0.521448))*((1-Input!$B$10+0.0225*Input!$B$9)^0.6906))</f>
        <v>1.1623512166412657</v>
      </c>
      <c r="I7" s="29">
        <f>IF(Input!$B$20&gt;0,Input!$B$20,Input!$B$6*(2*Input!$B$8+Input!$B$7)*(Input!$B$12^0.5)*(0.453+0.4425*Input!$B$11-0.2862*Input!$B$12-0.003467*(Input!$B$7/Input!$B$8)+0.3696*Input!$B$13)+2.38*Input!$B$14/Input!$B$11)</f>
        <v>7381.43</v>
      </c>
      <c r="J7" s="29">
        <f>Input!$B$6*Input!$B$7*Input!$B$8*Input!$B$11</f>
        <v>37523.2</v>
      </c>
      <c r="K7" s="31">
        <f>1+89*EXP(-1*((Input!$B$6/Input!$B$7)^0.80856)*((1-Input!$B$13)^0.30484)*((1-Input!$B$10-0.0225*Input!$B$9)^0.6367)*((Calculates!$E$3/Input!$B$7)^0.34574)*((100*Calculates!$J$3/(Input!$B$6^3))^0.16302))</f>
        <v>11.822355456040485</v>
      </c>
      <c r="L7" s="25">
        <f>IF(Input!$B$7/Input!$B$6&lt;0.11,(0.229577*(Input!$B$7/Input!$B$6)^0.33333),(IF(Input!$B$7/Input!$B$6&lt;0.25,(Input!$B$7/Input!$B$6),(0.5-0.0625*Input!$B$7/Input!$B$6))))</f>
        <v>0.15609756097560976</v>
      </c>
      <c r="M7" s="25">
        <f>2223105*(L7^3.78613)*((Input!$B$8/Input!$B$7)^1.07961)*((90-Calculates!K7)^(-1.37565))</f>
        <v>1.3914538154228873</v>
      </c>
      <c r="N7" s="25">
        <f>0.56*(Input!$B$14^1.5)/(Input!$B$7*Input!$B$8*(0.31*(Input!$B$14^0.5)+Input!$B$16-Input!$B$18))</f>
        <v>0.021191048493160156</v>
      </c>
      <c r="O7" s="25">
        <f t="shared" si="1"/>
        <v>0.7594733474184135</v>
      </c>
      <c r="P7" s="25">
        <f>1-0.8*Input!$B$19/(Input!$B$7*Input!$B$8*Input!$B$12)</f>
        <v>0.9591836734693877</v>
      </c>
      <c r="Q7" s="25">
        <f>IF(Input!$B$6/Input!$B$7&lt;12,(1.446*Input!$B$10-0.03*Input!$B$6/Input!$B$7),(1.446*Input!$B$10-0.36))</f>
        <v>0.6508305</v>
      </c>
      <c r="R7" s="25">
        <f>IF(Input!$B$10&lt;0.8,(8.07981*(Input!$B$10)-13.8673*(Input!$B$10^2)+6.984388*(Input!$B$10^3)),(1.73014-0.7067*Input!$B$10))</f>
        <v>1.3811799089593564</v>
      </c>
      <c r="S7" s="25">
        <f>0.0140407*(Input!$B$6/Input!$B$8)-1.75254*((Calculates!J7^(1/3))/Input!$B$6)-4.79323*(Input!$B$7/Input!$B$6)-Calculates!R7</f>
        <v>-2.12776436725836</v>
      </c>
      <c r="T7" s="25">
        <f>(Input!$B$6^3)/Calculates!J7</f>
        <v>229.59462412587413</v>
      </c>
      <c r="U7" s="25">
        <f t="shared" si="2"/>
        <v>-1.69385</v>
      </c>
      <c r="V7" s="25">
        <f>U7*(Input!$B$10^2)*EXP(-0.1*(Calculates!B7^(-2)))</f>
        <v>-8.91444058791535E-11</v>
      </c>
      <c r="W7" s="25">
        <f>0.56*(Input!$B$14^0.5)/(Input!$B$16-1.5*Input!$B$18)</f>
        <v>0.6260990336999412</v>
      </c>
      <c r="X7" s="25">
        <f>A7/((9.81*(Input!$B$16-Input!$B$18-0.25*(Input!$B$14^0.5))+0.15*Calculates!A7^2)^0.5)</f>
        <v>0.4252677698916131</v>
      </c>
      <c r="Y7" s="25">
        <f>IF(Input!$B$19=0,0,A7/(2*9.81*Input!$B$19/(Input!$B$7+Input!$B$7*Input!$B$13))^0.5)</f>
        <v>1.2602334294500845</v>
      </c>
      <c r="Z7" s="25">
        <f t="shared" si="3"/>
        <v>0.1495906628219966</v>
      </c>
      <c r="AA7" s="25">
        <f>IF(Input!$B$16/Input!$B$6&gt;0.04,0.04,Input!$B$16/Input!$B$6)</f>
        <v>0.04</v>
      </c>
      <c r="AB7" s="25">
        <f>0.006*((Input!$B$6+100)^(-0.16))-0.00205+0.003*((Input!$B$6/7.5)^0.5)*(Input!$B$11^4)*Calculates!O7*(0.04-Calculates!AA7)</f>
        <v>0.00035249933476840445</v>
      </c>
      <c r="AC7" s="25">
        <f>1.45*Input!$B$10-0.315-0.0225*Input!$B$9</f>
        <v>0.5757999999999999</v>
      </c>
      <c r="AD7" s="25">
        <f>IF(Input!$B$7/Input!$B$17&lt;5,(Input!$B$7*Calculates!I7/(Input!$B$6*Input!$B$58*Input!$B$17)),(Calculates!I7*(7*Input!$B$7/Input!$B$17-25)/(Input!$B$6*Input!$B$58(Input!$B$7/Input!$B$17-3))))</f>
        <v>12.661793621013134</v>
      </c>
      <c r="AE7" s="25">
        <f t="shared" si="4"/>
        <v>12.661793621013134</v>
      </c>
      <c r="AF7" s="25">
        <f>IF(Input!$B$17/Input!$B$58&lt;2,Input!$B$17/Input!$B$58,0.0833333*((Input!$B$17/Input!$B$58)^3)+1.33333)</f>
        <v>1.098901098901099</v>
      </c>
      <c r="AG7" s="25">
        <f t="shared" si="5"/>
        <v>0.00228779468305896</v>
      </c>
      <c r="AH7" s="25">
        <f>IF(Input!$B$6/Input!$B$7&gt;5.2,Input!$B$7/Input!$B$6,0.25-0.003328402/((Input!$B$7/Input!$B$6)-0.134615385))</f>
        <v>0.15609756097560976</v>
      </c>
      <c r="AI7" s="25">
        <f>0.5*D7*I7*(A7^2)*Input!$B$69</f>
        <v>56076.022794766235</v>
      </c>
      <c r="AJ7" s="25">
        <f t="shared" si="6"/>
        <v>0</v>
      </c>
      <c r="AK7" s="21">
        <f t="shared" si="7"/>
        <v>0</v>
      </c>
      <c r="AL7" s="25">
        <f>0.5*AK7*AJ7*D7*(A7^2)*Input!$B$69+BH7</f>
        <v>0</v>
      </c>
      <c r="AM7" s="27">
        <f>M7*O7*P7*J7*9.81*EXP(S7*(B7^-0.9)+V7*COS(Q7*(B7^-2)))*Input!$B$69</f>
        <v>0.009796151026164993</v>
      </c>
      <c r="AN7" s="25">
        <f>IF(Input!$B$14=0,0,0.11*EXP(-3*W7^-2)*(X7^3)*9.81*(Input!$B$14^1.5)*Input!$B$69/(1+(Calculates!X7^2)))</f>
        <v>3.0580176170343676</v>
      </c>
      <c r="AO7" s="25">
        <f>0.5*Z7*(A7^2)*Input!$B$69*Input!$B$19</f>
        <v>10920.72042118685</v>
      </c>
      <c r="AP7" s="25">
        <f>0.5*I7*AB7*(A7^2)*Input!$B$69</f>
        <v>11872.047543410752</v>
      </c>
      <c r="AQ7" s="27">
        <f t="shared" si="8"/>
        <v>87975.86909826554</v>
      </c>
      <c r="AR7" s="25">
        <f>IF(Input!$B$60=0.2,(0.001979*Input!$B$6/(Input!$B$7-Input!$B$7*Calculates!AC7)+1.0585*Calculates!AH7-0.00524-0.1418*(Input!$B$58^2)/(Input!$B$7*Input!$B$8)+0.0015*Input!$B$15),(0.325*Input!$B$11-0.1885*Input!$B$58/((Input!$B$7*Input!$B$8)^2)))</f>
        <v>0.16818085920204173</v>
      </c>
      <c r="AS7" s="25">
        <f>IF(Input!$B$60=0.2,(Calculates!AE7*Calculates!AG7*(Input!$B$6/Input!$B$17)*(0.0661875+1.21756*Calculates!AF7*Calculates!AG7/(1-Calculates!AC7))+0.24558*(Input!$B$7/(Input!$B$6*(1-Calculates!AC7)))^0.5-0.09726/(0.95-Input!$B$10)+0.11434/(0.95-Input!$B$11)+0.75*Input!$B$15*Calculates!AG7+0.002*Input!$B$15),(0.3095*Input!$B$11+10*Input!$B$11*Calculates!AG7-0.23*Input!$B$58/((Input!$B$7*Input!$B$8)^0.5)))</f>
        <v>0.2671935675496792</v>
      </c>
      <c r="AT7" s="25">
        <f>IF(Input!$B$60=0.2,(0.9922-0.05908*Calculates!AV7+0.07424*(Input!$B$10-0.0225*Input!$B$9)),(0.9737+0.111*(Input!$B$10-0.0225*Input!$B$9)-0.06325*Input!$B$57/Input!$B$58))</f>
        <v>1.0256623483099532</v>
      </c>
      <c r="AU7" s="25">
        <f t="shared" si="9"/>
        <v>105763.21796811612</v>
      </c>
      <c r="AV7" s="25">
        <f>Input!$B$60+(1.3+0.3*Input!$B$56)*AU7/((Input!$B$58^2)*(99047+Input!$B$69*9.81*(Input!$B$8-Input!$B$59)))</f>
        <v>0.22332057701500954</v>
      </c>
      <c r="AW7" s="25">
        <f>2.073*AV7*Input!$B$58/Input!$B$56</f>
        <v>0.8425572721968487</v>
      </c>
      <c r="AX7" s="25">
        <f>(0.0185-0.00125*Input!$B$56)*Input!$B$58/Calculates!AW7</f>
        <v>0.13230554607800693</v>
      </c>
      <c r="AY7" s="25">
        <f t="shared" si="10"/>
        <v>-0.0010165305932467283</v>
      </c>
      <c r="AZ7" s="27">
        <f t="shared" si="11"/>
        <v>262500.44313822285</v>
      </c>
      <c r="BA7" s="25">
        <f>AZ7/(AT7*0.99*Input!$B$61*(1-Calculates!AR7)/(1-Calculates!AS7))</f>
        <v>361501.6193583526</v>
      </c>
      <c r="BB7" s="21">
        <f>Input!B43</f>
        <v>1.8</v>
      </c>
      <c r="BC7" s="14">
        <f>Input!C43</f>
        <v>0</v>
      </c>
      <c r="BD7" s="22">
        <f>Input!D43</f>
        <v>0</v>
      </c>
      <c r="BE7" s="22">
        <f t="shared" si="12"/>
        <v>0</v>
      </c>
      <c r="BG7" s="9">
        <f t="shared" si="13"/>
        <v>0</v>
      </c>
      <c r="BH7" s="25">
        <f>0.007*3.14*(A7^2)*(($BF$14^2)*$BD$14+($BF$15^2)*$BD$15)*Input!$B$69</f>
        <v>0</v>
      </c>
    </row>
    <row r="8" spans="1:60" ht="12.75">
      <c r="A8" s="21">
        <f>A7+(Input!$B$65-Input!$B$64)*0.5144444444/20</f>
        <v>3.6011111103999998</v>
      </c>
      <c r="B8" s="27">
        <f>A8/(9.81*Input!$B$6)^0.5</f>
        <v>0.08030176431407728</v>
      </c>
      <c r="C8" s="27">
        <f>A8*Input!$B$6/Input!$B$68</f>
        <v>621246972.6769334</v>
      </c>
      <c r="D8" s="25">
        <f t="shared" si="0"/>
        <v>0.0016251903762263414</v>
      </c>
      <c r="E8" s="29">
        <f>(1-Input!$B$10+0.06*Input!$B$10*Input!$B$9/(4*Input!$B$10-1))*Input!$B$6</f>
        <v>74.61021171171173</v>
      </c>
      <c r="F8" s="30">
        <f>IF((Input!$B$8/Input!$B$6)&gt;0.05,((Input!$B$8/Input!$B$6)^0.2228446),(IF((Input!$B$8/Input!$B$6)&gt;0.02,(0.479948+48.2*(Input!$B$8/Input!$B$6-0.02)^2.078),0.479948)))</f>
        <v>0.5102208281235032</v>
      </c>
      <c r="G8" s="25">
        <f>1+0.003*Input!$B$15</f>
        <v>1.03</v>
      </c>
      <c r="H8" s="25">
        <f>G8*(0.93+F8*((Input!$B$7/E8)^0.92497)*((0.95-Input!$B$10)^(-0.521448))*((1-Input!$B$10+0.0225*Input!$B$9)^0.6906))</f>
        <v>1.1623512166412657</v>
      </c>
      <c r="I8" s="29">
        <f>IF(Input!$B$20&gt;0,Input!$B$20,Input!$B$6*(2*Input!$B$8+Input!$B$7)*(Input!$B$12^0.5)*(0.453+0.4425*Input!$B$11-0.2862*Input!$B$12-0.003467*(Input!$B$7/Input!$B$8)+0.3696*Input!$B$13)+2.38*Input!$B$14/Input!$B$11)</f>
        <v>7381.43</v>
      </c>
      <c r="J8" s="29">
        <f>Input!$B$6*Input!$B$7*Input!$B$8*Input!$B$11</f>
        <v>37523.2</v>
      </c>
      <c r="K8" s="31">
        <f>1+89*EXP(-1*((Input!$B$6/Input!$B$7)^0.80856)*((1-Input!$B$13)^0.30484)*((1-Input!$B$10-0.0225*Input!$B$9)^0.6367)*((Calculates!$E$3/Input!$B$7)^0.34574)*((100*Calculates!$J$3/(Input!$B$6^3))^0.16302))</f>
        <v>11.822355456040485</v>
      </c>
      <c r="L8" s="25">
        <f>IF(Input!$B$7/Input!$B$6&lt;0.11,(0.229577*(Input!$B$7/Input!$B$6)^0.33333),(IF(Input!$B$7/Input!$B$6&lt;0.25,(Input!$B$7/Input!$B$6),(0.5-0.0625*Input!$B$7/Input!$B$6))))</f>
        <v>0.15609756097560976</v>
      </c>
      <c r="M8" s="25">
        <f>2223105*(L8^3.78613)*((Input!$B$8/Input!$B$7)^1.07961)*((90-Calculates!K8)^(-1.37565))</f>
        <v>1.3914538154228873</v>
      </c>
      <c r="N8" s="25">
        <f>0.56*(Input!$B$14^1.5)/(Input!$B$7*Input!$B$8*(0.31*(Input!$B$14^0.5)+Input!$B$16-Input!$B$18))</f>
        <v>0.021191048493160156</v>
      </c>
      <c r="O8" s="25">
        <f t="shared" si="1"/>
        <v>0.7594733474184135</v>
      </c>
      <c r="P8" s="25">
        <f>1-0.8*Input!$B$19/(Input!$B$7*Input!$B$8*Input!$B$12)</f>
        <v>0.9591836734693877</v>
      </c>
      <c r="Q8" s="25">
        <f>IF(Input!$B$6/Input!$B$7&lt;12,(1.446*Input!$B$10-0.03*Input!$B$6/Input!$B$7),(1.446*Input!$B$10-0.36))</f>
        <v>0.6508305</v>
      </c>
      <c r="R8" s="25">
        <f>IF(Input!$B$10&lt;0.8,(8.07981*(Input!$B$10)-13.8673*(Input!$B$10^2)+6.984388*(Input!$B$10^3)),(1.73014-0.7067*Input!$B$10))</f>
        <v>1.3811799089593564</v>
      </c>
      <c r="S8" s="25">
        <f>0.0140407*(Input!$B$6/Input!$B$8)-1.75254*((Calculates!J8^(1/3))/Input!$B$6)-4.79323*(Input!$B$7/Input!$B$6)-Calculates!R8</f>
        <v>-2.12776436725836</v>
      </c>
      <c r="T8" s="25">
        <f>(Input!$B$6^3)/Calculates!J8</f>
        <v>229.59462412587413</v>
      </c>
      <c r="U8" s="25">
        <f t="shared" si="2"/>
        <v>-1.69385</v>
      </c>
      <c r="V8" s="25">
        <f>U8*(Input!$B$10^2)*EXP(-0.1*(Calculates!B8^(-2)))</f>
        <v>-1.0599021348000831E-07</v>
      </c>
      <c r="W8" s="25">
        <f>0.56*(Input!$B$14^0.5)/(Input!$B$16-1.5*Input!$B$18)</f>
        <v>0.6260990336999412</v>
      </c>
      <c r="X8" s="25">
        <f>A8/((9.81*(Input!$B$16-Input!$B$18-0.25*(Input!$B$14^0.5))+0.15*Calculates!A8^2)^0.5)</f>
        <v>0.510104701475193</v>
      </c>
      <c r="Y8" s="25">
        <f>IF(Input!$B$19=0,0,A8/(2*9.81*Input!$B$19/(Input!$B$7+Input!$B$7*Input!$B$13))^0.5)</f>
        <v>1.5209713804057456</v>
      </c>
      <c r="Z8" s="25">
        <f t="shared" si="3"/>
        <v>0.13916114478377017</v>
      </c>
      <c r="AA8" s="25">
        <f>IF(Input!$B$16/Input!$B$6&gt;0.04,0.04,Input!$B$16/Input!$B$6)</f>
        <v>0.04</v>
      </c>
      <c r="AB8" s="25">
        <f>0.006*((Input!$B$6+100)^(-0.16))-0.00205+0.003*((Input!$B$6/7.5)^0.5)*(Input!$B$11^4)*Calculates!O8*(0.04-Calculates!AA8)</f>
        <v>0.00035249933476840445</v>
      </c>
      <c r="AC8" s="25">
        <f>1.45*Input!$B$10-0.315-0.0225*Input!$B$9</f>
        <v>0.5757999999999999</v>
      </c>
      <c r="AD8" s="25">
        <f>IF(Input!$B$7/Input!$B$17&lt;5,(Input!$B$7*Calculates!I8/(Input!$B$6*Input!$B$58*Input!$B$17)),(Calculates!I8*(7*Input!$B$7/Input!$B$17-25)/(Input!$B$6*Input!$B$58(Input!$B$7/Input!$B$17-3))))</f>
        <v>12.661793621013134</v>
      </c>
      <c r="AE8" s="25">
        <f t="shared" si="4"/>
        <v>12.661793621013134</v>
      </c>
      <c r="AF8" s="25">
        <f>IF(Input!$B$17/Input!$B$58&lt;2,Input!$B$17/Input!$B$58,0.0833333*((Input!$B$17/Input!$B$58)^3)+1.33333)</f>
        <v>1.098901098901099</v>
      </c>
      <c r="AG8" s="25">
        <f t="shared" si="5"/>
        <v>0.0022415413458487686</v>
      </c>
      <c r="AH8" s="25">
        <f>IF(Input!$B$6/Input!$B$7&gt;5.2,Input!$B$7/Input!$B$6,0.25-0.003328402/((Input!$B$7/Input!$B$6)-0.134615385))</f>
        <v>0.15609756097560976</v>
      </c>
      <c r="AI8" s="25">
        <f>0.5*D8*I8*(A8^2)*Input!$B$69</f>
        <v>79728.1451075664</v>
      </c>
      <c r="AJ8" s="25">
        <f t="shared" si="6"/>
        <v>0</v>
      </c>
      <c r="AK8" s="21">
        <f t="shared" si="7"/>
        <v>0</v>
      </c>
      <c r="AL8" s="25">
        <f>0.5*AK8*AJ8*D8*(A8^2)*Input!$B$69+BH8</f>
        <v>0</v>
      </c>
      <c r="AM8" s="27">
        <f>M8*O8*P8*J8*9.81*EXP(S8*(B8^-0.9)+V8*COS(Q8*(B8^-2)))*Input!$B$69</f>
        <v>0.4366683094029477</v>
      </c>
      <c r="AN8" s="25">
        <f>IF(Input!$B$14=0,0,0.11*EXP(-3*W8^-2)*(X8^3)*9.81*(Input!$B$14^1.5)*Input!$B$69/(1+(Calculates!X8^2)))</f>
        <v>4.945206710968825</v>
      </c>
      <c r="AO8" s="25">
        <f>0.5*Z8*(A8^2)*Input!$B$69*Input!$B$19</f>
        <v>14798.063552506128</v>
      </c>
      <c r="AP8" s="25">
        <f>0.5*I8*AB8*(A8^2)*Input!$B$69</f>
        <v>17292.81598257624</v>
      </c>
      <c r="AQ8" s="27">
        <f t="shared" si="8"/>
        <v>124768.3678764339</v>
      </c>
      <c r="AR8" s="25">
        <f>IF(Input!$B$60=0.2,(0.001979*Input!$B$6/(Input!$B$7-Input!$B$7*Calculates!AC8)+1.0585*Calculates!AH8-0.00524-0.1418*(Input!$B$58^2)/(Input!$B$7*Input!$B$8)+0.0015*Input!$B$15),(0.325*Input!$B$11-0.1885*Input!$B$58/((Input!$B$7*Input!$B$8)^2)))</f>
        <v>0.16818085920204173</v>
      </c>
      <c r="AS8" s="25">
        <f>IF(Input!$B$60=0.2,(Calculates!AE8*Calculates!AG8*(Input!$B$6/Input!$B$17)*(0.0661875+1.21756*Calculates!AF8*Calculates!AG8/(1-Calculates!AC8))+0.24558*(Input!$B$7/(Input!$B$6*(1-Calculates!AC8)))^0.5-0.09726/(0.95-Input!$B$10)+0.11434/(0.95-Input!$B$11)+0.75*Input!$B$15*Calculates!AG8+0.002*Input!$B$15),(0.3095*Input!$B$11+10*Input!$B$11*Calculates!AG8-0.23*Input!$B$58/((Input!$B$7*Input!$B$8)^0.5)))</f>
        <v>0.2658805155425312</v>
      </c>
      <c r="AT8" s="25">
        <f>IF(Input!$B$60=0.2,(0.9922-0.05908*Calculates!AV8+0.07424*(Input!$B$10-0.0225*Input!$B$9)),(0.9737+0.111*(Input!$B$10-0.0225*Input!$B$9)-0.06325*Input!$B$57/Input!$B$58))</f>
        <v>1.0250861453342712</v>
      </c>
      <c r="AU8" s="25">
        <f t="shared" si="9"/>
        <v>149994.58627117486</v>
      </c>
      <c r="AV8" s="25">
        <f>Input!$B$60+(1.3+0.3*Input!$B$56)*AU8/((Input!$B$58^2)*(99047+Input!$B$69*9.81*(Input!$B$8-Input!$B$59)))</f>
        <v>0.2330735048363027</v>
      </c>
      <c r="AW8" s="25">
        <f>2.073*AV8*Input!$B$58/Input!$B$56</f>
        <v>0.879353703456693</v>
      </c>
      <c r="AX8" s="25">
        <f>(0.0185-0.00125*Input!$B$56)*Input!$B$58/Calculates!AW8</f>
        <v>0.12676923922853528</v>
      </c>
      <c r="AY8" s="25">
        <f t="shared" si="10"/>
        <v>-0.0009250786603950473</v>
      </c>
      <c r="AZ8" s="27">
        <f t="shared" si="11"/>
        <v>449304.7557863005</v>
      </c>
      <c r="BA8" s="25">
        <f>AZ8/(AT8*0.99*Input!$B$61*(1-Calculates!AR8)/(1-Calculates!AS8))</f>
        <v>620215.6905044263</v>
      </c>
      <c r="BB8" s="21">
        <f>Input!B44</f>
        <v>3</v>
      </c>
      <c r="BC8" s="14">
        <f>Input!C44</f>
        <v>0</v>
      </c>
      <c r="BD8" s="22">
        <f>Input!D44</f>
        <v>0</v>
      </c>
      <c r="BE8" s="22">
        <f t="shared" si="12"/>
        <v>0</v>
      </c>
      <c r="BG8" s="9">
        <f t="shared" si="13"/>
        <v>0</v>
      </c>
      <c r="BH8" s="25">
        <f>0.007*3.14*(A8^2)*(($BF$14^2)*$BD$14+($BF$15^2)*$BD$15)*Input!$B$69</f>
        <v>0</v>
      </c>
    </row>
    <row r="9" spans="1:60" ht="12.75">
      <c r="A9" s="21">
        <f>A8+(Input!$B$65-Input!$B$64)*0.5144444444/20</f>
        <v>4.21844444368</v>
      </c>
      <c r="B9" s="27">
        <f>A9/(9.81*Input!$B$6)^0.5</f>
        <v>0.09406778105516247</v>
      </c>
      <c r="C9" s="27">
        <f>A9*Input!$B$6/Input!$B$68</f>
        <v>727746453.7190945</v>
      </c>
      <c r="D9" s="25">
        <f t="shared" si="0"/>
        <v>0.001592804064192646</v>
      </c>
      <c r="E9" s="29">
        <f>(1-Input!$B$10+0.06*Input!$B$10*Input!$B$9/(4*Input!$B$10-1))*Input!$B$6</f>
        <v>74.61021171171173</v>
      </c>
      <c r="F9" s="30">
        <f>IF((Input!$B$8/Input!$B$6)&gt;0.05,((Input!$B$8/Input!$B$6)^0.2228446),(IF((Input!$B$8/Input!$B$6)&gt;0.02,(0.479948+48.2*(Input!$B$8/Input!$B$6-0.02)^2.078),0.479948)))</f>
        <v>0.5102208281235032</v>
      </c>
      <c r="G9" s="25">
        <f>1+0.003*Input!$B$15</f>
        <v>1.03</v>
      </c>
      <c r="H9" s="25">
        <f>G9*(0.93+F9*((Input!$B$7/E9)^0.92497)*((0.95-Input!$B$10)^(-0.521448))*((1-Input!$B$10+0.0225*Input!$B$9)^0.6906))</f>
        <v>1.1623512166412657</v>
      </c>
      <c r="I9" s="29">
        <f>IF(Input!$B$20&gt;0,Input!$B$20,Input!$B$6*(2*Input!$B$8+Input!$B$7)*(Input!$B$12^0.5)*(0.453+0.4425*Input!$B$11-0.2862*Input!$B$12-0.003467*(Input!$B$7/Input!$B$8)+0.3696*Input!$B$13)+2.38*Input!$B$14/Input!$B$11)</f>
        <v>7381.43</v>
      </c>
      <c r="J9" s="29">
        <f>Input!$B$6*Input!$B$7*Input!$B$8*Input!$B$11</f>
        <v>37523.2</v>
      </c>
      <c r="K9" s="31">
        <f>1+89*EXP(-1*((Input!$B$6/Input!$B$7)^0.80856)*((1-Input!$B$13)^0.30484)*((1-Input!$B$10-0.0225*Input!$B$9)^0.6367)*((Calculates!$E$3/Input!$B$7)^0.34574)*((100*Calculates!$J$3/(Input!$B$6^3))^0.16302))</f>
        <v>11.822355456040485</v>
      </c>
      <c r="L9" s="25">
        <f>IF(Input!$B$7/Input!$B$6&lt;0.11,(0.229577*(Input!$B$7/Input!$B$6)^0.33333),(IF(Input!$B$7/Input!$B$6&lt;0.25,(Input!$B$7/Input!$B$6),(0.5-0.0625*Input!$B$7/Input!$B$6))))</f>
        <v>0.15609756097560976</v>
      </c>
      <c r="M9" s="25">
        <f>2223105*(L9^3.78613)*((Input!$B$8/Input!$B$7)^1.07961)*((90-Calculates!K9)^(-1.37565))</f>
        <v>1.3914538154228873</v>
      </c>
      <c r="N9" s="25">
        <f>0.56*(Input!$B$14^1.5)/(Input!$B$7*Input!$B$8*(0.31*(Input!$B$14^0.5)+Input!$B$16-Input!$B$18))</f>
        <v>0.021191048493160156</v>
      </c>
      <c r="O9" s="25">
        <f t="shared" si="1"/>
        <v>0.7594733474184135</v>
      </c>
      <c r="P9" s="25">
        <f>1-0.8*Input!$B$19/(Input!$B$7*Input!$B$8*Input!$B$12)</f>
        <v>0.9591836734693877</v>
      </c>
      <c r="Q9" s="25">
        <f>IF(Input!$B$6/Input!$B$7&lt;12,(1.446*Input!$B$10-0.03*Input!$B$6/Input!$B$7),(1.446*Input!$B$10-0.36))</f>
        <v>0.6508305</v>
      </c>
      <c r="R9" s="25">
        <f>IF(Input!$B$10&lt;0.8,(8.07981*(Input!$B$10)-13.8673*(Input!$B$10^2)+6.984388*(Input!$B$10^3)),(1.73014-0.7067*Input!$B$10))</f>
        <v>1.3811799089593564</v>
      </c>
      <c r="S9" s="25">
        <f>0.0140407*(Input!$B$6/Input!$B$8)-1.75254*((Calculates!J9^(1/3))/Input!$B$6)-4.79323*(Input!$B$7/Input!$B$6)-Calculates!R9</f>
        <v>-2.12776436725836</v>
      </c>
      <c r="T9" s="25">
        <f>(Input!$B$6^3)/Calculates!J9</f>
        <v>229.59462412587413</v>
      </c>
      <c r="U9" s="25">
        <f t="shared" si="2"/>
        <v>-1.69385</v>
      </c>
      <c r="V9" s="25">
        <f>U9*(Input!$B$10^2)*EXP(-0.1*(Calculates!B9^(-2)))</f>
        <v>-7.115986831379827E-06</v>
      </c>
      <c r="W9" s="25">
        <f>0.56*(Input!$B$14^0.5)/(Input!$B$16-1.5*Input!$B$18)</f>
        <v>0.6260990336999412</v>
      </c>
      <c r="X9" s="25">
        <f>A9/((9.81*(Input!$B$16-Input!$B$18-0.25*(Input!$B$14^0.5))+0.15*Calculates!A9^2)^0.5)</f>
        <v>0.5932570184117131</v>
      </c>
      <c r="Y9" s="25">
        <f>IF(Input!$B$19=0,0,A9/(2*9.81*Input!$B$19/(Input!$B$7+Input!$B$7*Input!$B$13))^0.5)</f>
        <v>1.7817093313614072</v>
      </c>
      <c r="Z9" s="25">
        <f t="shared" si="3"/>
        <v>0.1287316267455437</v>
      </c>
      <c r="AA9" s="25">
        <f>IF(Input!$B$16/Input!$B$6&gt;0.04,0.04,Input!$B$16/Input!$B$6)</f>
        <v>0.04</v>
      </c>
      <c r="AB9" s="25">
        <f>0.006*((Input!$B$6+100)^(-0.16))-0.00205+0.003*((Input!$B$6/7.5)^0.5)*(Input!$B$11^4)*Calculates!O9*(0.04-Calculates!AA9)</f>
        <v>0.00035249933476840445</v>
      </c>
      <c r="AC9" s="25">
        <f>1.45*Input!$B$10-0.315-0.0225*Input!$B$9</f>
        <v>0.5757999999999999</v>
      </c>
      <c r="AD9" s="25">
        <f>IF(Input!$B$7/Input!$B$17&lt;5,(Input!$B$7*Calculates!I9/(Input!$B$6*Input!$B$58*Input!$B$17)),(Calculates!I9*(7*Input!$B$7/Input!$B$17-25)/(Input!$B$6*Input!$B$58(Input!$B$7/Input!$B$17-3))))</f>
        <v>12.661793621013134</v>
      </c>
      <c r="AE9" s="25">
        <f t="shared" si="4"/>
        <v>12.661793621013134</v>
      </c>
      <c r="AF9" s="25">
        <f>IF(Input!$B$17/Input!$B$58&lt;2,Input!$B$17/Input!$B$58,0.0833333*((Input!$B$17/Input!$B$58)^3)+1.33333)</f>
        <v>1.098901098901099</v>
      </c>
      <c r="AG9" s="25">
        <f t="shared" si="5"/>
        <v>0.0022038970766538792</v>
      </c>
      <c r="AH9" s="25">
        <f>IF(Input!$B$6/Input!$B$7&gt;5.2,Input!$B$7/Input!$B$6,0.25-0.003328402/((Input!$B$7/Input!$B$6)-0.134615385))</f>
        <v>0.15609756097560976</v>
      </c>
      <c r="AI9" s="25">
        <f>0.5*D9*I9*(A9^2)*Input!$B$69</f>
        <v>107226.31924834967</v>
      </c>
      <c r="AJ9" s="25">
        <f t="shared" si="6"/>
        <v>0</v>
      </c>
      <c r="AK9" s="21">
        <f t="shared" si="7"/>
        <v>0</v>
      </c>
      <c r="AL9" s="25">
        <f>0.5*AK9*AJ9*D9*(A9^2)*Input!$B$69+BH9</f>
        <v>0</v>
      </c>
      <c r="AM9" s="27">
        <f>M9*O9*P9*J9*9.81*EXP(S9*(B9^-0.9)+V9*COS(Q9*(B9^-2)))*Input!$B$69</f>
        <v>6.715134449994722</v>
      </c>
      <c r="AN9" s="25">
        <f>IF(Input!$B$14=0,0,0.11*EXP(-3*W9^-2)*(X9^3)*9.81*(Input!$B$14^1.5)*Input!$B$69/(1+(Calculates!X9^2)))</f>
        <v>7.251286533330599</v>
      </c>
      <c r="AO9" s="25">
        <f>0.5*Z9*(A9^2)*Input!$B$69*Input!$B$19</f>
        <v>18784.678975274397</v>
      </c>
      <c r="AP9" s="25">
        <f>0.5*I9*AB9*(A9^2)*Input!$B$69</f>
        <v>23729.978504208746</v>
      </c>
      <c r="AQ9" s="27">
        <f t="shared" si="8"/>
        <v>167163.26653475047</v>
      </c>
      <c r="AR9" s="25">
        <f>IF(Input!$B$60=0.2,(0.001979*Input!$B$6/(Input!$B$7-Input!$B$7*Calculates!AC9)+1.0585*Calculates!AH9-0.00524-0.1418*(Input!$B$58^2)/(Input!$B$7*Input!$B$8)+0.0015*Input!$B$15),(0.325*Input!$B$11-0.1885*Input!$B$58/((Input!$B$7*Input!$B$8)^2)))</f>
        <v>0.16818085920204173</v>
      </c>
      <c r="AS9" s="25">
        <f>IF(Input!$B$60=0.2,(Calculates!AE9*Calculates!AG9*(Input!$B$6/Input!$B$17)*(0.0661875+1.21756*Calculates!AF9*Calculates!AG9/(1-Calculates!AC9))+0.24558*(Input!$B$7/(Input!$B$6*(1-Calculates!AC9)))^0.5-0.09726/(0.95-Input!$B$10)+0.11434/(0.95-Input!$B$11)+0.75*Input!$B$15*Calculates!AG9+0.002*Input!$B$15),(0.3095*Input!$B$11+10*Input!$B$11*Calculates!AG9-0.23*Input!$B$58/((Input!$B$7*Input!$B$8)^0.5)))</f>
        <v>0.2648144457284598</v>
      </c>
      <c r="AT9" s="25">
        <f>IF(Input!$B$60=0.2,(0.9922-0.05908*Calculates!AV9+0.07424*(Input!$B$10-0.0225*Input!$B$9)),(0.9737+0.111*(Input!$B$10-0.0225*Input!$B$9)-0.06325*Input!$B$57/Input!$B$58))</f>
        <v>1.0244222038360886</v>
      </c>
      <c r="AU9" s="25">
        <f t="shared" si="9"/>
        <v>200961.0723484818</v>
      </c>
      <c r="AV9" s="25">
        <f>Input!$B$60+(1.3+0.3*Input!$B$56)*AU9/((Input!$B$58^2)*(99047+Input!$B$69*9.81*(Input!$B$8-Input!$B$59)))</f>
        <v>0.24431151259159395</v>
      </c>
      <c r="AW9" s="25">
        <f>2.073*AV9*Input!$B$58/Input!$B$56</f>
        <v>0.921753133396321</v>
      </c>
      <c r="AX9" s="25">
        <f>(0.0185-0.00125*Input!$B$56)*Input!$B$58/Calculates!AW9</f>
        <v>0.12093802121318063</v>
      </c>
      <c r="AY9" s="25">
        <f t="shared" si="10"/>
        <v>-0.000827461294443737</v>
      </c>
      <c r="AZ9" s="27">
        <f t="shared" si="11"/>
        <v>705168.952900917</v>
      </c>
      <c r="BA9" s="25">
        <f>AZ9/(AT9*0.99*Input!$B$61*(1-Calculates!AR9)/(1-Calculates!AS9))</f>
        <v>975453.3651108966</v>
      </c>
      <c r="BB9" s="21">
        <f>Input!B45</f>
        <v>2</v>
      </c>
      <c r="BC9" s="14">
        <f>Input!C45</f>
        <v>0</v>
      </c>
      <c r="BD9" s="22">
        <f>Input!D45</f>
        <v>0</v>
      </c>
      <c r="BE9" s="22">
        <f t="shared" si="12"/>
        <v>0</v>
      </c>
      <c r="BG9" s="9">
        <f t="shared" si="13"/>
        <v>0</v>
      </c>
      <c r="BH9" s="25">
        <f>0.007*3.14*(A9^2)*(($BF$14^2)*$BD$14+($BF$15^2)*$BD$15)*Input!$B$69</f>
        <v>0</v>
      </c>
    </row>
    <row r="10" spans="1:60" ht="12.75">
      <c r="A10" s="21">
        <f>A9+(Input!$B$65-Input!$B$64)*0.5144444444/20</f>
        <v>4.8357777769600006</v>
      </c>
      <c r="B10" s="27">
        <f>A10/(9.81*Input!$B$6)^0.5</f>
        <v>0.10783379779624767</v>
      </c>
      <c r="C10" s="27">
        <f>A10*Input!$B$6/Input!$B$68</f>
        <v>834245934.7612557</v>
      </c>
      <c r="D10" s="25">
        <f t="shared" si="0"/>
        <v>0.001565621065419085</v>
      </c>
      <c r="E10" s="29">
        <f>(1-Input!$B$10+0.06*Input!$B$10*Input!$B$9/(4*Input!$B$10-1))*Input!$B$6</f>
        <v>74.61021171171173</v>
      </c>
      <c r="F10" s="30">
        <f>IF((Input!$B$8/Input!$B$6)&gt;0.05,((Input!$B$8/Input!$B$6)^0.2228446),(IF((Input!$B$8/Input!$B$6)&gt;0.02,(0.479948+48.2*(Input!$B$8/Input!$B$6-0.02)^2.078),0.479948)))</f>
        <v>0.5102208281235032</v>
      </c>
      <c r="G10" s="25">
        <f>1+0.003*Input!$B$15</f>
        <v>1.03</v>
      </c>
      <c r="H10" s="25">
        <f>G10*(0.93+F10*((Input!$B$7/E10)^0.92497)*((0.95-Input!$B$10)^(-0.521448))*((1-Input!$B$10+0.0225*Input!$B$9)^0.6906))</f>
        <v>1.1623512166412657</v>
      </c>
      <c r="I10" s="29">
        <f>IF(Input!$B$20&gt;0,Input!$B$20,Input!$B$6*(2*Input!$B$8+Input!$B$7)*(Input!$B$12^0.5)*(0.453+0.4425*Input!$B$11-0.2862*Input!$B$12-0.003467*(Input!$B$7/Input!$B$8)+0.3696*Input!$B$13)+2.38*Input!$B$14/Input!$B$11)</f>
        <v>7381.43</v>
      </c>
      <c r="J10" s="29">
        <f>Input!$B$6*Input!$B$7*Input!$B$8*Input!$B$11</f>
        <v>37523.2</v>
      </c>
      <c r="K10" s="31">
        <f>1+89*EXP(-1*((Input!$B$6/Input!$B$7)^0.80856)*((1-Input!$B$13)^0.30484)*((1-Input!$B$10-0.0225*Input!$B$9)^0.6367)*((Calculates!$E$3/Input!$B$7)^0.34574)*((100*Calculates!$J$3/(Input!$B$6^3))^0.16302))</f>
        <v>11.822355456040485</v>
      </c>
      <c r="L10" s="25">
        <f>IF(Input!$B$7/Input!$B$6&lt;0.11,(0.229577*(Input!$B$7/Input!$B$6)^0.33333),(IF(Input!$B$7/Input!$B$6&lt;0.25,(Input!$B$7/Input!$B$6),(0.5-0.0625*Input!$B$7/Input!$B$6))))</f>
        <v>0.15609756097560976</v>
      </c>
      <c r="M10" s="25">
        <f>2223105*(L10^3.78613)*((Input!$B$8/Input!$B$7)^1.07961)*((90-Calculates!K10)^(-1.37565))</f>
        <v>1.3914538154228873</v>
      </c>
      <c r="N10" s="25">
        <f>0.56*(Input!$B$14^1.5)/(Input!$B$7*Input!$B$8*(0.31*(Input!$B$14^0.5)+Input!$B$16-Input!$B$18))</f>
        <v>0.021191048493160156</v>
      </c>
      <c r="O10" s="25">
        <f t="shared" si="1"/>
        <v>0.7594733474184135</v>
      </c>
      <c r="P10" s="25">
        <f>1-0.8*Input!$B$19/(Input!$B$7*Input!$B$8*Input!$B$12)</f>
        <v>0.9591836734693877</v>
      </c>
      <c r="Q10" s="25">
        <f>IF(Input!$B$6/Input!$B$7&lt;12,(1.446*Input!$B$10-0.03*Input!$B$6/Input!$B$7),(1.446*Input!$B$10-0.36))</f>
        <v>0.6508305</v>
      </c>
      <c r="R10" s="25">
        <f>IF(Input!$B$10&lt;0.8,(8.07981*(Input!$B$10)-13.8673*(Input!$B$10^2)+6.984388*(Input!$B$10^3)),(1.73014-0.7067*Input!$B$10))</f>
        <v>1.3811799089593564</v>
      </c>
      <c r="S10" s="25">
        <f>0.0140407*(Input!$B$6/Input!$B$8)-1.75254*((Calculates!J10^(1/3))/Input!$B$6)-4.79323*(Input!$B$7/Input!$B$6)-Calculates!R10</f>
        <v>-2.12776436725836</v>
      </c>
      <c r="T10" s="25">
        <f>(Input!$B$6^3)/Calculates!J10</f>
        <v>229.59462412587413</v>
      </c>
      <c r="U10" s="25">
        <f t="shared" si="2"/>
        <v>-1.69385</v>
      </c>
      <c r="V10" s="25">
        <f>U10*(Input!$B$10^2)*EXP(-0.1*(Calculates!B10^(-2)))</f>
        <v>-0.00010601089202752675</v>
      </c>
      <c r="W10" s="25">
        <f>0.56*(Input!$B$14^0.5)/(Input!$B$16-1.5*Input!$B$18)</f>
        <v>0.6260990336999412</v>
      </c>
      <c r="X10" s="25">
        <f>A10/((9.81*(Input!$B$16-Input!$B$18-0.25*(Input!$B$14^0.5))+0.15*Calculates!A10^2)^0.5)</f>
        <v>0.6745057038309258</v>
      </c>
      <c r="Y10" s="25">
        <f>IF(Input!$B$19=0,0,A10/(2*9.81*Input!$B$19/(Input!$B$7+Input!$B$7*Input!$B$13))^0.5)</f>
        <v>2.0424472823170685</v>
      </c>
      <c r="Z10" s="25">
        <f t="shared" si="3"/>
        <v>0.11830210870731726</v>
      </c>
      <c r="AA10" s="25">
        <f>IF(Input!$B$16/Input!$B$6&gt;0.04,0.04,Input!$B$16/Input!$B$6)</f>
        <v>0.04</v>
      </c>
      <c r="AB10" s="25">
        <f>0.006*((Input!$B$6+100)^(-0.16))-0.00205+0.003*((Input!$B$6/7.5)^0.5)*(Input!$B$11^4)*Calculates!O10*(0.04-Calculates!AA10)</f>
        <v>0.00035249933476840445</v>
      </c>
      <c r="AC10" s="25">
        <f>1.45*Input!$B$10-0.315-0.0225*Input!$B$9</f>
        <v>0.5757999999999999</v>
      </c>
      <c r="AD10" s="25">
        <f>IF(Input!$B$7/Input!$B$17&lt;5,(Input!$B$7*Calculates!I10/(Input!$B$6*Input!$B$58*Input!$B$17)),(Calculates!I10*(7*Input!$B$7/Input!$B$17-25)/(Input!$B$6*Input!$B$58(Input!$B$7/Input!$B$17-3))))</f>
        <v>12.661793621013134</v>
      </c>
      <c r="AE10" s="25">
        <f t="shared" si="4"/>
        <v>12.661793621013134</v>
      </c>
      <c r="AF10" s="25">
        <f>IF(Input!$B$17/Input!$B$58&lt;2,Input!$B$17/Input!$B$58,0.0833333*((Input!$B$17/Input!$B$58)^3)+1.33333)</f>
        <v>1.098901098901099</v>
      </c>
      <c r="AG10" s="25">
        <f t="shared" si="5"/>
        <v>0.0021723008849574726</v>
      </c>
      <c r="AH10" s="25">
        <f>IF(Input!$B$6/Input!$B$7&gt;5.2,Input!$B$7/Input!$B$6,0.25-0.003328402/((Input!$B$7/Input!$B$6)-0.134615385))</f>
        <v>0.15609756097560976</v>
      </c>
      <c r="AI10" s="25">
        <f>0.5*D10*I10*(A10^2)*Input!$B$69</f>
        <v>138501.25275237559</v>
      </c>
      <c r="AJ10" s="25">
        <f t="shared" si="6"/>
        <v>0</v>
      </c>
      <c r="AK10" s="21">
        <f t="shared" si="7"/>
        <v>0</v>
      </c>
      <c r="AL10" s="25">
        <f>0.5*AK10*AJ10*D10*(A10^2)*Input!$B$69+BH10</f>
        <v>0</v>
      </c>
      <c r="AM10" s="27">
        <f>M10*O10*P10*J10*9.81*EXP(S10*(B10^-0.9)+V10*COS(Q10*(B10^-2)))*Input!$B$69</f>
        <v>52.972262699620664</v>
      </c>
      <c r="AN10" s="25">
        <f>IF(Input!$B$14=0,0,0.11*EXP(-3*W10^-2)*(X10^3)*9.81*(Input!$B$14^1.5)*Input!$B$69/(1+(Calculates!X10^2)))</f>
        <v>9.902725286877502</v>
      </c>
      <c r="AO10" s="25">
        <f>0.5*Z10*(A10^2)*Input!$B$69*Input!$B$19</f>
        <v>22685.011746707754</v>
      </c>
      <c r="AP10" s="25">
        <f>0.5*I10*AB10*(A10^2)*Input!$B$69</f>
        <v>31183.53510830827</v>
      </c>
      <c r="AQ10" s="27">
        <f t="shared" si="8"/>
        <v>214918.52148606573</v>
      </c>
      <c r="AR10" s="25">
        <f>IF(Input!$B$60=0.2,(0.001979*Input!$B$6/(Input!$B$7-Input!$B$7*Calculates!AC10)+1.0585*Calculates!AH10-0.00524-0.1418*(Input!$B$58^2)/(Input!$B$7*Input!$B$8)+0.0015*Input!$B$15),(0.325*Input!$B$11-0.1885*Input!$B$58/((Input!$B$7*Input!$B$8)^2)))</f>
        <v>0.16818085920204173</v>
      </c>
      <c r="AS10" s="25">
        <f>IF(Input!$B$60=0.2,(Calculates!AE10*Calculates!AG10*(Input!$B$6/Input!$B$17)*(0.0661875+1.21756*Calculates!AF10*Calculates!AG10/(1-Calculates!AC10))+0.24558*(Input!$B$7/(Input!$B$6*(1-Calculates!AC10)))^0.5-0.09726/(0.95-Input!$B$10)+0.11434/(0.95-Input!$B$11)+0.75*Input!$B$15*Calculates!AG10+0.002*Input!$B$15),(0.3095*Input!$B$11+10*Input!$B$11*Calculates!AG10-0.23*Input!$B$58/((Input!$B$7*Input!$B$8)^0.5)))</f>
        <v>0.26392144602560497</v>
      </c>
      <c r="AT10" s="25">
        <f>IF(Input!$B$60=0.2,(0.9922-0.05908*Calculates!AV10+0.07424*(Input!$B$10-0.0225*Input!$B$9)),(0.9737+0.111*(Input!$B$10-0.0225*Input!$B$9)-0.06325*Input!$B$57/Input!$B$58))</f>
        <v>1.023674314431422</v>
      </c>
      <c r="AU10" s="25">
        <f t="shared" si="9"/>
        <v>258371.6951739003</v>
      </c>
      <c r="AV10" s="25">
        <f>Input!$B$60+(1.3+0.3*Input!$B$56)*AU10/((Input!$B$58^2)*(99047+Input!$B$69*9.81*(Input!$B$8-Input!$B$59)))</f>
        <v>0.2569704395493899</v>
      </c>
      <c r="AW10" s="25">
        <f>2.073*AV10*Input!$B$58/Input!$B$56</f>
        <v>0.9695134925583112</v>
      </c>
      <c r="AX10" s="25">
        <f>(0.0185-0.00125*Input!$B$56)*Input!$B$58/Calculates!AW10</f>
        <v>0.11498034927378316</v>
      </c>
      <c r="AY10" s="25">
        <f t="shared" si="10"/>
        <v>-0.0007261827159173001</v>
      </c>
      <c r="AZ10" s="27">
        <f t="shared" si="11"/>
        <v>1039298.2100594171</v>
      </c>
      <c r="BA10" s="25">
        <f>AZ10/(AT10*0.99*Input!$B$61*(1-Calculates!AR10)/(1-Calculates!AS10))</f>
        <v>1440448.9916200433</v>
      </c>
      <c r="BB10" s="21">
        <f>Input!B46</f>
        <v>3</v>
      </c>
      <c r="BC10" s="14">
        <f>Input!C46</f>
        <v>0</v>
      </c>
      <c r="BD10" s="22">
        <f>Input!D46</f>
        <v>0</v>
      </c>
      <c r="BE10" s="22">
        <f t="shared" si="12"/>
        <v>0</v>
      </c>
      <c r="BG10" s="9">
        <f t="shared" si="13"/>
        <v>0</v>
      </c>
      <c r="BH10" s="25">
        <f>0.007*3.14*(A10^2)*(($BF$14^2)*$BD$14+($BF$15^2)*$BD$15)*Input!$B$69</f>
        <v>0</v>
      </c>
    </row>
    <row r="11" spans="1:60" ht="12.75">
      <c r="A11" s="21">
        <f>A10+(Input!$B$65-Input!$B$64)*0.5144444444/20</f>
        <v>5.453111110240001</v>
      </c>
      <c r="B11" s="27">
        <f>A11/(9.81*Input!$B$6)^0.5</f>
        <v>0.12159981453733287</v>
      </c>
      <c r="C11" s="27">
        <f>A11*Input!$B$6/Input!$B$68</f>
        <v>940745415.803417</v>
      </c>
      <c r="D11" s="25">
        <f t="shared" si="0"/>
        <v>0.0015422796445844287</v>
      </c>
      <c r="E11" s="29">
        <f>(1-Input!$B$10+0.06*Input!$B$10*Input!$B$9/(4*Input!$B$10-1))*Input!$B$6</f>
        <v>74.61021171171173</v>
      </c>
      <c r="F11" s="30">
        <f>IF((Input!$B$8/Input!$B$6)&gt;0.05,((Input!$B$8/Input!$B$6)^0.2228446),(IF((Input!$B$8/Input!$B$6)&gt;0.02,(0.479948+48.2*(Input!$B$8/Input!$B$6-0.02)^2.078),0.479948)))</f>
        <v>0.5102208281235032</v>
      </c>
      <c r="G11" s="25">
        <f>1+0.003*Input!$B$15</f>
        <v>1.03</v>
      </c>
      <c r="H11" s="25">
        <f>G11*(0.93+F11*((Input!$B$7/E11)^0.92497)*((0.95-Input!$B$10)^(-0.521448))*((1-Input!$B$10+0.0225*Input!$B$9)^0.6906))</f>
        <v>1.1623512166412657</v>
      </c>
      <c r="I11" s="29">
        <f>IF(Input!$B$20&gt;0,Input!$B$20,Input!$B$6*(2*Input!$B$8+Input!$B$7)*(Input!$B$12^0.5)*(0.453+0.4425*Input!$B$11-0.2862*Input!$B$12-0.003467*(Input!$B$7/Input!$B$8)+0.3696*Input!$B$13)+2.38*Input!$B$14/Input!$B$11)</f>
        <v>7381.43</v>
      </c>
      <c r="J11" s="29">
        <f>Input!$B$6*Input!$B$7*Input!$B$8*Input!$B$11</f>
        <v>37523.2</v>
      </c>
      <c r="K11" s="31">
        <f>1+89*EXP(-1*((Input!$B$6/Input!$B$7)^0.80856)*((1-Input!$B$13)^0.30484)*((1-Input!$B$10-0.0225*Input!$B$9)^0.6367)*((Calculates!$E$3/Input!$B$7)^0.34574)*((100*Calculates!$J$3/(Input!$B$6^3))^0.16302))</f>
        <v>11.822355456040485</v>
      </c>
      <c r="L11" s="25">
        <f>IF(Input!$B$7/Input!$B$6&lt;0.11,(0.229577*(Input!$B$7/Input!$B$6)^0.33333),(IF(Input!$B$7/Input!$B$6&lt;0.25,(Input!$B$7/Input!$B$6),(0.5-0.0625*Input!$B$7/Input!$B$6))))</f>
        <v>0.15609756097560976</v>
      </c>
      <c r="M11" s="25">
        <f>2223105*(L11^3.78613)*((Input!$B$8/Input!$B$7)^1.07961)*((90-Calculates!K11)^(-1.37565))</f>
        <v>1.3914538154228873</v>
      </c>
      <c r="N11" s="25">
        <f>0.56*(Input!$B$14^1.5)/(Input!$B$7*Input!$B$8*(0.31*(Input!$B$14^0.5)+Input!$B$16-Input!$B$18))</f>
        <v>0.021191048493160156</v>
      </c>
      <c r="O11" s="25">
        <f t="shared" si="1"/>
        <v>0.7594733474184135</v>
      </c>
      <c r="P11" s="25">
        <f>1-0.8*Input!$B$19/(Input!$B$7*Input!$B$8*Input!$B$12)</f>
        <v>0.9591836734693877</v>
      </c>
      <c r="Q11" s="25">
        <f>IF(Input!$B$6/Input!$B$7&lt;12,(1.446*Input!$B$10-0.03*Input!$B$6/Input!$B$7),(1.446*Input!$B$10-0.36))</f>
        <v>0.6508305</v>
      </c>
      <c r="R11" s="25">
        <f>IF(Input!$B$10&lt;0.8,(8.07981*(Input!$B$10)-13.8673*(Input!$B$10^2)+6.984388*(Input!$B$10^3)),(1.73014-0.7067*Input!$B$10))</f>
        <v>1.3811799089593564</v>
      </c>
      <c r="S11" s="25">
        <f>0.0140407*(Input!$B$6/Input!$B$8)-1.75254*((Calculates!J11^(1/3))/Input!$B$6)-4.79323*(Input!$B$7/Input!$B$6)-Calculates!R11</f>
        <v>-2.12776436725836</v>
      </c>
      <c r="T11" s="25">
        <f>(Input!$B$6^3)/Calculates!J11</f>
        <v>229.59462412587413</v>
      </c>
      <c r="U11" s="25">
        <f t="shared" si="2"/>
        <v>-1.69385</v>
      </c>
      <c r="V11" s="25">
        <f>U11*(Input!$B$10^2)*EXP(-0.1*(Calculates!B11^(-2)))</f>
        <v>-0.0006654473946405021</v>
      </c>
      <c r="W11" s="25">
        <f>0.56*(Input!$B$14^0.5)/(Input!$B$16-1.5*Input!$B$18)</f>
        <v>0.6260990336999412</v>
      </c>
      <c r="X11" s="25">
        <f>A11/((9.81*(Input!$B$16-Input!$B$18-0.25*(Input!$B$14^0.5))+0.15*Calculates!A11^2)^0.5)</f>
        <v>0.7536599339749647</v>
      </c>
      <c r="Y11" s="25">
        <f>IF(Input!$B$19=0,0,A11/(2*9.81*Input!$B$19/(Input!$B$7+Input!$B$7*Input!$B$13))^0.5)</f>
        <v>2.30318523327273</v>
      </c>
      <c r="Z11" s="25">
        <f t="shared" si="3"/>
        <v>0.10787259066909081</v>
      </c>
      <c r="AA11" s="25">
        <f>IF(Input!$B$16/Input!$B$6&gt;0.04,0.04,Input!$B$16/Input!$B$6)</f>
        <v>0.04</v>
      </c>
      <c r="AB11" s="25">
        <f>0.006*((Input!$B$6+100)^(-0.16))-0.00205+0.003*((Input!$B$6/7.5)^0.5)*(Input!$B$11^4)*Calculates!O11*(0.04-Calculates!AA11)</f>
        <v>0.00035249933476840445</v>
      </c>
      <c r="AC11" s="25">
        <f>1.45*Input!$B$10-0.315-0.0225*Input!$B$9</f>
        <v>0.5757999999999999</v>
      </c>
      <c r="AD11" s="25">
        <f>IF(Input!$B$7/Input!$B$17&lt;5,(Input!$B$7*Calculates!I11/(Input!$B$6*Input!$B$58*Input!$B$17)),(Calculates!I11*(7*Input!$B$7/Input!$B$17-25)/(Input!$B$6*Input!$B$58(Input!$B$7/Input!$B$17-3))))</f>
        <v>12.661793621013134</v>
      </c>
      <c r="AE11" s="25">
        <f t="shared" si="4"/>
        <v>12.661793621013134</v>
      </c>
      <c r="AF11" s="25">
        <f>IF(Input!$B$17/Input!$B$58&lt;2,Input!$B$17/Input!$B$58,0.0833333*((Input!$B$17/Input!$B$58)^3)+1.33333)</f>
        <v>1.098901098901099</v>
      </c>
      <c r="AG11" s="25">
        <f t="shared" si="5"/>
        <v>0.0021451699560521738</v>
      </c>
      <c r="AH11" s="25">
        <f>IF(Input!$B$6/Input!$B$7&gt;5.2,Input!$B$7/Input!$B$6,0.25-0.003328402/((Input!$B$7/Input!$B$6)-0.134615385))</f>
        <v>0.15609756097560976</v>
      </c>
      <c r="AI11" s="25">
        <f>0.5*D11*I11*(A11^2)*Input!$B$69</f>
        <v>173494.69331178686</v>
      </c>
      <c r="AJ11" s="25">
        <f t="shared" si="6"/>
        <v>0</v>
      </c>
      <c r="AK11" s="21">
        <f t="shared" si="7"/>
        <v>0</v>
      </c>
      <c r="AL11" s="25">
        <f>0.5*AK11*AJ11*D11*(A11^2)*Input!$B$69+BH11</f>
        <v>0</v>
      </c>
      <c r="AM11" s="27">
        <f>M11*O11*P11*J11*9.81*EXP(S11*(B11^-0.9)+V11*COS(Q11*(B11^-2)))*Input!$B$69</f>
        <v>267.12698061304377</v>
      </c>
      <c r="AN11" s="25">
        <f>IF(Input!$B$14=0,0,0.11*EXP(-3*W11^-2)*(X11^3)*9.81*(Input!$B$14^1.5)*Input!$B$69/(1+(Calculates!X11^2)))</f>
        <v>12.8182165583446</v>
      </c>
      <c r="AO11" s="25">
        <f>0.5*Z11*(A11^2)*Input!$B$69*Input!$B$19</f>
        <v>26303.506924022266</v>
      </c>
      <c r="AP11" s="25">
        <f>0.5*I11*AB11*(A11^2)*Input!$B$69</f>
        <v>39653.48579487481</v>
      </c>
      <c r="AQ11" s="27">
        <f t="shared" si="8"/>
        <v>267898.7057678272</v>
      </c>
      <c r="AR11" s="25">
        <f>IF(Input!$B$60=0.2,(0.001979*Input!$B$6/(Input!$B$7-Input!$B$7*Calculates!AC11)+1.0585*Calculates!AH11-0.00524-0.1418*(Input!$B$58^2)/(Input!$B$7*Input!$B$8)+0.0015*Input!$B$15),(0.325*Input!$B$11-0.1885*Input!$B$58/((Input!$B$7*Input!$B$8)^2)))</f>
        <v>0.16818085920204173</v>
      </c>
      <c r="AS11" s="25">
        <f>IF(Input!$B$60=0.2,(Calculates!AE11*Calculates!AG11*(Input!$B$6/Input!$B$17)*(0.0661875+1.21756*Calculates!AF11*Calculates!AG11/(1-Calculates!AC11))+0.24558*(Input!$B$7/(Input!$B$6*(1-Calculates!AC11)))^0.5-0.09726/(0.95-Input!$B$10)+0.11434/(0.95-Input!$B$11)+0.75*Input!$B$15*Calculates!AG11+0.002*Input!$B$15),(0.3095*Input!$B$11+10*Input!$B$11*Calculates!AG11-0.23*Input!$B$58/((Input!$B$7*Input!$B$8)^0.5)))</f>
        <v>0.2631559520156412</v>
      </c>
      <c r="AT11" s="25">
        <f>IF(Input!$B$60=0.2,(0.9922-0.05908*Calculates!AV11+0.07424*(Input!$B$10-0.0225*Input!$B$9)),(0.9737+0.111*(Input!$B$10-0.0225*Input!$B$9)-0.06325*Input!$B$57/Input!$B$58))</f>
        <v>1.0228445980259289</v>
      </c>
      <c r="AU11" s="25">
        <f t="shared" si="9"/>
        <v>322063.6465648457</v>
      </c>
      <c r="AV11" s="25">
        <f>Input!$B$60+(1.3+0.3*Input!$B$56)*AU11/((Input!$B$58^2)*(99047+Input!$B$69*9.81*(Input!$B$8-Input!$B$59)))</f>
        <v>0.271014386832618</v>
      </c>
      <c r="AW11" s="25">
        <f>2.073*AV11*Input!$B$58/Input!$B$56</f>
        <v>1.0224993395053112</v>
      </c>
      <c r="AX11" s="25">
        <f>(0.0185-0.00125*Input!$B$56)*Input!$B$58/Calculates!AW11</f>
        <v>0.10902207531393808</v>
      </c>
      <c r="AY11" s="25">
        <f t="shared" si="10"/>
        <v>-0.0006231255125273584</v>
      </c>
      <c r="AZ11" s="27">
        <f t="shared" si="11"/>
        <v>1460881.4088414556</v>
      </c>
      <c r="BA11" s="25">
        <f>AZ11/(AT11*0.99*Input!$B$61*(1-Calculates!AR11)/(1-Calculates!AS11))</f>
        <v>2028505.7007594719</v>
      </c>
      <c r="BB11" s="21">
        <f>Input!B47</f>
        <v>2.8</v>
      </c>
      <c r="BC11" s="14">
        <f>Input!C47</f>
        <v>0</v>
      </c>
      <c r="BD11" s="22">
        <f>Input!D47</f>
        <v>0</v>
      </c>
      <c r="BE11" s="22">
        <f t="shared" si="12"/>
        <v>0</v>
      </c>
      <c r="BG11" s="9">
        <f t="shared" si="13"/>
        <v>0</v>
      </c>
      <c r="BH11" s="25">
        <f>0.007*3.14*(A11^2)*(($BF$14^2)*$BD$14+($BF$15^2)*$BD$15)*Input!$B$69</f>
        <v>0</v>
      </c>
    </row>
    <row r="12" spans="1:60" ht="12.75">
      <c r="A12" s="21">
        <f>A11+(Input!$B$65-Input!$B$64)*0.5144444444/20</f>
        <v>6.070444443520001</v>
      </c>
      <c r="B12" s="27">
        <f>A12/(9.81*Input!$B$6)^0.5</f>
        <v>0.1353658312784181</v>
      </c>
      <c r="C12" s="27">
        <f>A12*Input!$B$6/Input!$B$68</f>
        <v>1047244896.8455781</v>
      </c>
      <c r="D12" s="25">
        <f t="shared" si="0"/>
        <v>0.001521882309578551</v>
      </c>
      <c r="E12" s="29">
        <f>(1-Input!$B$10+0.06*Input!$B$10*Input!$B$9/(4*Input!$B$10-1))*Input!$B$6</f>
        <v>74.61021171171173</v>
      </c>
      <c r="F12" s="30">
        <f>IF((Input!$B$8/Input!$B$6)&gt;0.05,((Input!$B$8/Input!$B$6)^0.2228446),(IF((Input!$B$8/Input!$B$6)&gt;0.02,(0.479948+48.2*(Input!$B$8/Input!$B$6-0.02)^2.078),0.479948)))</f>
        <v>0.5102208281235032</v>
      </c>
      <c r="G12" s="25">
        <f>1+0.003*Input!$B$15</f>
        <v>1.03</v>
      </c>
      <c r="H12" s="25">
        <f>G12*(0.93+F12*((Input!$B$7/E12)^0.92497)*((0.95-Input!$B$10)^(-0.521448))*((1-Input!$B$10+0.0225*Input!$B$9)^0.6906))</f>
        <v>1.1623512166412657</v>
      </c>
      <c r="I12" s="29">
        <f>IF(Input!$B$20&gt;0,Input!$B$20,Input!$B$6*(2*Input!$B$8+Input!$B$7)*(Input!$B$12^0.5)*(0.453+0.4425*Input!$B$11-0.2862*Input!$B$12-0.003467*(Input!$B$7/Input!$B$8)+0.3696*Input!$B$13)+2.38*Input!$B$14/Input!$B$11)</f>
        <v>7381.43</v>
      </c>
      <c r="J12" s="29">
        <f>Input!$B$6*Input!$B$7*Input!$B$8*Input!$B$11</f>
        <v>37523.2</v>
      </c>
      <c r="K12" s="31">
        <f>1+89*EXP(-1*((Input!$B$6/Input!$B$7)^0.80856)*((1-Input!$B$13)^0.30484)*((1-Input!$B$10-0.0225*Input!$B$9)^0.6367)*((Calculates!$E$3/Input!$B$7)^0.34574)*((100*Calculates!$J$3/(Input!$B$6^3))^0.16302))</f>
        <v>11.822355456040485</v>
      </c>
      <c r="L12" s="25">
        <f>IF(Input!$B$7/Input!$B$6&lt;0.11,(0.229577*(Input!$B$7/Input!$B$6)^0.33333),(IF(Input!$B$7/Input!$B$6&lt;0.25,(Input!$B$7/Input!$B$6),(0.5-0.0625*Input!$B$7/Input!$B$6))))</f>
        <v>0.15609756097560976</v>
      </c>
      <c r="M12" s="25">
        <f>2223105*(L12^3.78613)*((Input!$B$8/Input!$B$7)^1.07961)*((90-Calculates!K12)^(-1.37565))</f>
        <v>1.3914538154228873</v>
      </c>
      <c r="N12" s="25">
        <f>0.56*(Input!$B$14^1.5)/(Input!$B$7*Input!$B$8*(0.31*(Input!$B$14^0.5)+Input!$B$16-Input!$B$18))</f>
        <v>0.021191048493160156</v>
      </c>
      <c r="O12" s="25">
        <f t="shared" si="1"/>
        <v>0.7594733474184135</v>
      </c>
      <c r="P12" s="25">
        <f>1-0.8*Input!$B$19/(Input!$B$7*Input!$B$8*Input!$B$12)</f>
        <v>0.9591836734693877</v>
      </c>
      <c r="Q12" s="25">
        <f>IF(Input!$B$6/Input!$B$7&lt;12,(1.446*Input!$B$10-0.03*Input!$B$6/Input!$B$7),(1.446*Input!$B$10-0.36))</f>
        <v>0.6508305</v>
      </c>
      <c r="R12" s="25">
        <f>IF(Input!$B$10&lt;0.8,(8.07981*(Input!$B$10)-13.8673*(Input!$B$10^2)+6.984388*(Input!$B$10^3)),(1.73014-0.7067*Input!$B$10))</f>
        <v>1.3811799089593564</v>
      </c>
      <c r="S12" s="25">
        <f>0.0140407*(Input!$B$6/Input!$B$8)-1.75254*((Calculates!J12^(1/3))/Input!$B$6)-4.79323*(Input!$B$7/Input!$B$6)-Calculates!R12</f>
        <v>-2.12776436725836</v>
      </c>
      <c r="T12" s="25">
        <f>(Input!$B$6^3)/Calculates!J12</f>
        <v>229.59462412587413</v>
      </c>
      <c r="U12" s="25">
        <f t="shared" si="2"/>
        <v>-1.69385</v>
      </c>
      <c r="V12" s="25">
        <f>U12*(Input!$B$10^2)*EXP(-0.1*(Calculates!B12^(-2)))</f>
        <v>-0.0024553568142656706</v>
      </c>
      <c r="W12" s="25">
        <f>0.56*(Input!$B$14^0.5)/(Input!$B$16-1.5*Input!$B$18)</f>
        <v>0.6260990336999412</v>
      </c>
      <c r="X12" s="25">
        <f>A12/((9.81*(Input!$B$16-Input!$B$18-0.25*(Input!$B$14^0.5))+0.15*Calculates!A12^2)^0.5)</f>
        <v>0.830558155791693</v>
      </c>
      <c r="Y12" s="25">
        <f>IF(Input!$B$19=0,0,A12/(2*9.81*Input!$B$19/(Input!$B$7+Input!$B$7*Input!$B$13))^0.5)</f>
        <v>2.563923184228391</v>
      </c>
      <c r="Z12" s="25">
        <f t="shared" si="3"/>
        <v>0.09744307263086437</v>
      </c>
      <c r="AA12" s="25">
        <f>IF(Input!$B$16/Input!$B$6&gt;0.04,0.04,Input!$B$16/Input!$B$6)</f>
        <v>0.04</v>
      </c>
      <c r="AB12" s="25">
        <f>0.006*((Input!$B$6+100)^(-0.16))-0.00205+0.003*((Input!$B$6/7.5)^0.5)*(Input!$B$11^4)*Calculates!O12*(0.04-Calculates!AA12)</f>
        <v>0.00035249933476840445</v>
      </c>
      <c r="AC12" s="25">
        <f>1.45*Input!$B$10-0.315-0.0225*Input!$B$9</f>
        <v>0.5757999999999999</v>
      </c>
      <c r="AD12" s="25">
        <f>IF(Input!$B$7/Input!$B$17&lt;5,(Input!$B$7*Calculates!I12/(Input!$B$6*Input!$B$58*Input!$B$17)),(Calculates!I12*(7*Input!$B$7/Input!$B$17-25)/(Input!$B$6*Input!$B$58(Input!$B$7/Input!$B$17-3))))</f>
        <v>12.661793621013134</v>
      </c>
      <c r="AE12" s="25">
        <f t="shared" si="4"/>
        <v>12.661793621013134</v>
      </c>
      <c r="AF12" s="25">
        <f>IF(Input!$B$17/Input!$B$58&lt;2,Input!$B$17/Input!$B$58,0.0833333*((Input!$B$17/Input!$B$58)^3)+1.33333)</f>
        <v>1.098901098901099</v>
      </c>
      <c r="AG12" s="25">
        <f t="shared" si="5"/>
        <v>0.0021214610888918525</v>
      </c>
      <c r="AH12" s="25">
        <f>IF(Input!$B$6/Input!$B$7&gt;5.2,Input!$B$7/Input!$B$6,0.25-0.003328402/((Input!$B$7/Input!$B$6)-0.134615385))</f>
        <v>0.15609756097560976</v>
      </c>
      <c r="AI12" s="25">
        <f>0.5*D12*I12*(A12^2)*Input!$B$69</f>
        <v>212156.53890534013</v>
      </c>
      <c r="AJ12" s="25">
        <f t="shared" si="6"/>
        <v>0</v>
      </c>
      <c r="AK12" s="21">
        <f t="shared" si="7"/>
        <v>0</v>
      </c>
      <c r="AL12" s="25">
        <f>0.5*AK12*AJ12*D12*(A12^2)*Input!$B$69+BH12</f>
        <v>0</v>
      </c>
      <c r="AM12" s="27">
        <f>M12*O12*P12*J12*9.81*EXP(S12*(B12^-0.9)+V12*COS(Q12*(B12^-2)))*Input!$B$69</f>
        <v>986.2484940699427</v>
      </c>
      <c r="AN12" s="25">
        <f>IF(Input!$B$14=0,0,0.11*EXP(-3*W12^-2)*(X12^3)*9.81*(Input!$B$14^1.5)*Input!$B$69/(1+(Calculates!X12^2)))</f>
        <v>15.91901628892895</v>
      </c>
      <c r="AO12" s="25">
        <f>0.5*Z12*(A12^2)*Input!$B$69*Input!$B$19</f>
        <v>29444.609564434028</v>
      </c>
      <c r="AP12" s="25">
        <f>0.5*I12*AB12*(A12^2)*Input!$B$69</f>
        <v>49139.83056390835</v>
      </c>
      <c r="AQ12" s="27">
        <f t="shared" si="8"/>
        <v>326187.01875372336</v>
      </c>
      <c r="AR12" s="25">
        <f>IF(Input!$B$60=0.2,(0.001979*Input!$B$6/(Input!$B$7-Input!$B$7*Calculates!AC12)+1.0585*Calculates!AH12-0.00524-0.1418*(Input!$B$58^2)/(Input!$B$7*Input!$B$8)+0.0015*Input!$B$15),(0.325*Input!$B$11-0.1885*Input!$B$58/((Input!$B$7*Input!$B$8)^2)))</f>
        <v>0.16818085920204173</v>
      </c>
      <c r="AS12" s="25">
        <f>IF(Input!$B$60=0.2,(Calculates!AE12*Calculates!AG12*(Input!$B$6/Input!$B$17)*(0.0661875+1.21756*Calculates!AF12*Calculates!AG12/(1-Calculates!AC12))+0.24558*(Input!$B$7/(Input!$B$6*(1-Calculates!AC12)))^0.5-0.09726/(0.95-Input!$B$10)+0.11434/(0.95-Input!$B$11)+0.75*Input!$B$15*Calculates!AG12+0.002*Input!$B$15),(0.3095*Input!$B$11+10*Input!$B$11*Calculates!AG12-0.23*Input!$B$58/((Input!$B$7*Input!$B$8)^0.5)))</f>
        <v>0.26248799765759095</v>
      </c>
      <c r="AT12" s="25">
        <f>IF(Input!$B$60=0.2,(0.9922-0.05908*Calculates!AV12+0.07424*(Input!$B$10-0.0225*Input!$B$9)),(0.9737+0.111*(Input!$B$10-0.0225*Input!$B$9)-0.06325*Input!$B$57/Input!$B$58))</f>
        <v>1.0219317516440494</v>
      </c>
      <c r="AU12" s="25">
        <f t="shared" si="9"/>
        <v>392136.9475109871</v>
      </c>
      <c r="AV12" s="25">
        <f>Input!$B$60+(1.3+0.3*Input!$B$56)*AU12/((Input!$B$58^2)*(99047+Input!$B$69*9.81*(Input!$B$8-Input!$B$59)))</f>
        <v>0.2864654088684932</v>
      </c>
      <c r="AW12" s="25">
        <f>2.073*AV12*Input!$B$58/Input!$B$56</f>
        <v>1.0807938825035834</v>
      </c>
      <c r="AX12" s="25">
        <f>(0.0185-0.00125*Input!$B$56)*Input!$B$58/Calculates!AW12</f>
        <v>0.10314177550836608</v>
      </c>
      <c r="AY12" s="25">
        <f t="shared" si="10"/>
        <v>-0.0005194456253320148</v>
      </c>
      <c r="AZ12" s="27">
        <f t="shared" si="11"/>
        <v>1980100.1755418945</v>
      </c>
      <c r="BA12" s="25">
        <f>AZ12/(AT12*0.99*Input!$B$61*(1-Calculates!AR12)/(1-Calculates!AS12))</f>
        <v>2754417.113982818</v>
      </c>
      <c r="BB12" s="21">
        <f>Input!B48</f>
        <v>2.7</v>
      </c>
      <c r="BC12" s="14">
        <f>Input!C48</f>
        <v>0</v>
      </c>
      <c r="BD12" s="22">
        <f>Input!D48</f>
        <v>0</v>
      </c>
      <c r="BE12" s="22">
        <f t="shared" si="12"/>
        <v>0</v>
      </c>
      <c r="BG12" s="9">
        <f t="shared" si="13"/>
        <v>0</v>
      </c>
      <c r="BH12" s="25">
        <f>0.007*3.14*(A12^2)*(($BF$14^2)*$BD$14+($BF$15^2)*$BD$15)*Input!$B$69</f>
        <v>0</v>
      </c>
    </row>
    <row r="13" spans="1:60" ht="12.75">
      <c r="A13" s="21">
        <f>A12+(Input!$B$65-Input!$B$64)*0.5144444444/20</f>
        <v>6.687777776800002</v>
      </c>
      <c r="B13" s="27">
        <f>A13/(9.81*Input!$B$6)^0.5</f>
        <v>0.14913184801950327</v>
      </c>
      <c r="C13" s="27">
        <f>A13*Input!$B$6/Input!$B$68</f>
        <v>1153744377.8877392</v>
      </c>
      <c r="D13" s="25">
        <f t="shared" si="0"/>
        <v>0.0015038078830508011</v>
      </c>
      <c r="E13" s="29">
        <f>(1-Input!$B$10+0.06*Input!$B$10*Input!$B$9/(4*Input!$B$10-1))*Input!$B$6</f>
        <v>74.61021171171173</v>
      </c>
      <c r="F13" s="30">
        <f>IF((Input!$B$8/Input!$B$6)&gt;0.05,((Input!$B$8/Input!$B$6)^0.2228446),(IF((Input!$B$8/Input!$B$6)&gt;0.02,(0.479948+48.2*(Input!$B$8/Input!$B$6-0.02)^2.078),0.479948)))</f>
        <v>0.5102208281235032</v>
      </c>
      <c r="G13" s="25">
        <f>1+0.003*Input!$B$15</f>
        <v>1.03</v>
      </c>
      <c r="H13" s="25">
        <f>G13*(0.93+F13*((Input!$B$7/E13)^0.92497)*((0.95-Input!$B$10)^(-0.521448))*((1-Input!$B$10+0.0225*Input!$B$9)^0.6906))</f>
        <v>1.1623512166412657</v>
      </c>
      <c r="I13" s="29">
        <f>IF(Input!$B$20&gt;0,Input!$B$20,Input!$B$6*(2*Input!$B$8+Input!$B$7)*(Input!$B$12^0.5)*(0.453+0.4425*Input!$B$11-0.2862*Input!$B$12-0.003467*(Input!$B$7/Input!$B$8)+0.3696*Input!$B$13)+2.38*Input!$B$14/Input!$B$11)</f>
        <v>7381.43</v>
      </c>
      <c r="J13" s="29">
        <f>Input!$B$6*Input!$B$7*Input!$B$8*Input!$B$11</f>
        <v>37523.2</v>
      </c>
      <c r="K13" s="31">
        <f>1+89*EXP(-1*((Input!$B$6/Input!$B$7)^0.80856)*((1-Input!$B$13)^0.30484)*((1-Input!$B$10-0.0225*Input!$B$9)^0.6367)*((Calculates!$E$3/Input!$B$7)^0.34574)*((100*Calculates!$J$3/(Input!$B$6^3))^0.16302))</f>
        <v>11.822355456040485</v>
      </c>
      <c r="L13" s="25">
        <f>IF(Input!$B$7/Input!$B$6&lt;0.11,(0.229577*(Input!$B$7/Input!$B$6)^0.33333),(IF(Input!$B$7/Input!$B$6&lt;0.25,(Input!$B$7/Input!$B$6),(0.5-0.0625*Input!$B$7/Input!$B$6))))</f>
        <v>0.15609756097560976</v>
      </c>
      <c r="M13" s="25">
        <f>2223105*(L13^3.78613)*((Input!$B$8/Input!$B$7)^1.07961)*((90-Calculates!K13)^(-1.37565))</f>
        <v>1.3914538154228873</v>
      </c>
      <c r="N13" s="25">
        <f>0.56*(Input!$B$14^1.5)/(Input!$B$7*Input!$B$8*(0.31*(Input!$B$14^0.5)+Input!$B$16-Input!$B$18))</f>
        <v>0.021191048493160156</v>
      </c>
      <c r="O13" s="25">
        <f t="shared" si="1"/>
        <v>0.7594733474184135</v>
      </c>
      <c r="P13" s="25">
        <f>1-0.8*Input!$B$19/(Input!$B$7*Input!$B$8*Input!$B$12)</f>
        <v>0.9591836734693877</v>
      </c>
      <c r="Q13" s="25">
        <f>IF(Input!$B$6/Input!$B$7&lt;12,(1.446*Input!$B$10-0.03*Input!$B$6/Input!$B$7),(1.446*Input!$B$10-0.36))</f>
        <v>0.6508305</v>
      </c>
      <c r="R13" s="25">
        <f>IF(Input!$B$10&lt;0.8,(8.07981*(Input!$B$10)-13.8673*(Input!$B$10^2)+6.984388*(Input!$B$10^3)),(1.73014-0.7067*Input!$B$10))</f>
        <v>1.3811799089593564</v>
      </c>
      <c r="S13" s="25">
        <f>0.0140407*(Input!$B$6/Input!$B$8)-1.75254*((Calculates!J13^(1/3))/Input!$B$6)-4.79323*(Input!$B$7/Input!$B$6)-Calculates!R13</f>
        <v>-2.12776436725836</v>
      </c>
      <c r="T13" s="25">
        <f>(Input!$B$6^3)/Calculates!J13</f>
        <v>229.59462412587413</v>
      </c>
      <c r="U13" s="25">
        <f t="shared" si="2"/>
        <v>-1.69385</v>
      </c>
      <c r="V13" s="25">
        <f>U13*(Input!$B$10^2)*EXP(-0.1*(Calculates!B13^(-2)))</f>
        <v>-0.006419129707449866</v>
      </c>
      <c r="W13" s="25">
        <f>0.56*(Input!$B$14^0.5)/(Input!$B$16-1.5*Input!$B$18)</f>
        <v>0.6260990336999412</v>
      </c>
      <c r="X13" s="25">
        <f>A13/((9.81*(Input!$B$16-Input!$B$18-0.25*(Input!$B$14^0.5))+0.15*Calculates!A13^2)^0.5)</f>
        <v>0.905068327472492</v>
      </c>
      <c r="Y13" s="25">
        <f>IF(Input!$B$19=0,0,A13/(2*9.81*Input!$B$19/(Input!$B$7+Input!$B$7*Input!$B$13))^0.5)</f>
        <v>2.8246611351840527</v>
      </c>
      <c r="Z13" s="25">
        <f t="shared" si="3"/>
        <v>0.08701355459263789</v>
      </c>
      <c r="AA13" s="25">
        <f>IF(Input!$B$16/Input!$B$6&gt;0.04,0.04,Input!$B$16/Input!$B$6)</f>
        <v>0.04</v>
      </c>
      <c r="AB13" s="25">
        <f>0.006*((Input!$B$6+100)^(-0.16))-0.00205+0.003*((Input!$B$6/7.5)^0.5)*(Input!$B$11^4)*Calculates!O13*(0.04-Calculates!AA13)</f>
        <v>0.00035249933476840445</v>
      </c>
      <c r="AC13" s="25">
        <f>1.45*Input!$B$10-0.315-0.0225*Input!$B$9</f>
        <v>0.5757999999999999</v>
      </c>
      <c r="AD13" s="25">
        <f>IF(Input!$B$7/Input!$B$17&lt;5,(Input!$B$7*Calculates!I13/(Input!$B$6*Input!$B$58*Input!$B$17)),(Calculates!I13*(7*Input!$B$7/Input!$B$17-25)/(Input!$B$6*Input!$B$58(Input!$B$7/Input!$B$17-3))))</f>
        <v>12.661793621013134</v>
      </c>
      <c r="AE13" s="25">
        <f t="shared" si="4"/>
        <v>12.661793621013134</v>
      </c>
      <c r="AF13" s="25">
        <f>IF(Input!$B$17/Input!$B$58&lt;2,Input!$B$17/Input!$B$58,0.0833333*((Input!$B$17/Input!$B$58)^3)+1.33333)</f>
        <v>1.098901098901099</v>
      </c>
      <c r="AG13" s="25">
        <f t="shared" si="5"/>
        <v>0.002100452257227229</v>
      </c>
      <c r="AH13" s="25">
        <f>IF(Input!$B$6/Input!$B$7&gt;5.2,Input!$B$7/Input!$B$6,0.25-0.003328402/((Input!$B$7/Input!$B$6)-0.134615385))</f>
        <v>0.15609756097560976</v>
      </c>
      <c r="AI13" s="25">
        <f>0.5*D13*I13*(A13^2)*Input!$B$69</f>
        <v>254442.93706603555</v>
      </c>
      <c r="AJ13" s="25">
        <f t="shared" si="6"/>
        <v>0</v>
      </c>
      <c r="AK13" s="21">
        <f t="shared" si="7"/>
        <v>0</v>
      </c>
      <c r="AL13" s="25">
        <f>0.5*AK13*AJ13*D13*(A13^2)*Input!$B$69+BH13</f>
        <v>0</v>
      </c>
      <c r="AM13" s="27">
        <f>M13*O13*P13*J13*9.81*EXP(S13*(B13^-0.9)+V13*COS(Q13*(B13^-2)))*Input!$B$69</f>
        <v>2893.7410642696727</v>
      </c>
      <c r="AN13" s="25">
        <f>IF(Input!$B$14=0,0,0.11*EXP(-3*W13^-2)*(X13^3)*9.81*(Input!$B$14^1.5)*Input!$B$69/(1+(Calculates!X13^2)))</f>
        <v>19.13481195084123</v>
      </c>
      <c r="AO13" s="25">
        <f>0.5*Z13*(A13^2)*Input!$B$69*Input!$B$19</f>
        <v>31912.76472515911</v>
      </c>
      <c r="AP13" s="25">
        <f>0.5*I13*AB13*(A13^2)*Input!$B$69</f>
        <v>59642.56941540891</v>
      </c>
      <c r="AQ13" s="27">
        <f t="shared" si="8"/>
        <v>390220.26748127193</v>
      </c>
      <c r="AR13" s="25">
        <f>IF(Input!$B$60=0.2,(0.001979*Input!$B$6/(Input!$B$7-Input!$B$7*Calculates!AC13)+1.0585*Calculates!AH13-0.00524-0.1418*(Input!$B$58^2)/(Input!$B$7*Input!$B$8)+0.0015*Input!$B$15),(0.325*Input!$B$11-0.1885*Input!$B$58/((Input!$B$7*Input!$B$8)^2)))</f>
        <v>0.16818085920204173</v>
      </c>
      <c r="AS13" s="25">
        <f>IF(Input!$B$60=0.2,(Calculates!AE13*Calculates!AG13*(Input!$B$6/Input!$B$17)*(0.0661875+1.21756*Calculates!AF13*Calculates!AG13/(1-Calculates!AC13))+0.24558*(Input!$B$7/(Input!$B$6*(1-Calculates!AC13)))^0.5-0.09726/(0.95-Input!$B$10)+0.11434/(0.95-Input!$B$11)+0.75*Input!$B$15*Calculates!AG13+0.002*Input!$B$15),(0.3095*Input!$B$11+10*Input!$B$11*Calculates!AG13-0.23*Input!$B$58/((Input!$B$7*Input!$B$8)^0.5)))</f>
        <v>0.26189688105155007</v>
      </c>
      <c r="AT13" s="25">
        <f>IF(Input!$B$60=0.2,(0.9922-0.05908*Calculates!AV13+0.07424*(Input!$B$10-0.0225*Input!$B$9)),(0.9737+0.111*(Input!$B$10-0.0225*Input!$B$9)-0.06325*Input!$B$57/Input!$B$58))</f>
        <v>1.0209289345023853</v>
      </c>
      <c r="AU13" s="25">
        <f t="shared" si="9"/>
        <v>469116.7206214278</v>
      </c>
      <c r="AV13" s="25">
        <f>Input!$B$60+(1.3+0.3*Input!$B$56)*AU13/((Input!$B$58^2)*(99047+Input!$B$69*9.81*(Input!$B$8-Input!$B$59)))</f>
        <v>0.30343929413701054</v>
      </c>
      <c r="AW13" s="25">
        <f>2.073*AV13*Input!$B$58/Input!$B$56</f>
        <v>1.1448339752777614</v>
      </c>
      <c r="AX13" s="25">
        <f>(0.0185-0.00125*Input!$B$56)*Input!$B$58/Calculates!AW13</f>
        <v>0.09737219754764331</v>
      </c>
      <c r="AY13" s="25">
        <f t="shared" si="10"/>
        <v>-0.000415548351033661</v>
      </c>
      <c r="AZ13" s="27">
        <f t="shared" si="11"/>
        <v>2609706.432918203</v>
      </c>
      <c r="BA13" s="25">
        <f>AZ13/(AT13*0.99*Input!$B$61*(1-Calculates!AR13)/(1-Calculates!AS13))</f>
        <v>3636708.825331085</v>
      </c>
      <c r="BB13" s="21">
        <f>Input!B49</f>
        <v>1.4</v>
      </c>
      <c r="BC13" s="21">
        <f>Input!C49</f>
        <v>0</v>
      </c>
      <c r="BD13" s="22">
        <f>Input!D49</f>
        <v>0</v>
      </c>
      <c r="BE13" s="22">
        <f t="shared" si="12"/>
        <v>0</v>
      </c>
      <c r="BF13" s="10" t="s">
        <v>153</v>
      </c>
      <c r="BG13" s="9">
        <f t="shared" si="13"/>
        <v>0</v>
      </c>
      <c r="BH13" s="25">
        <f>0.007*3.14*(A13^2)*(($BF$14^2)*$BD$14+($BF$15^2)*$BD$15)*Input!$B$69</f>
        <v>0</v>
      </c>
    </row>
    <row r="14" spans="1:60" ht="12.75">
      <c r="A14" s="21">
        <f>A13+(Input!$B$65-Input!$B$64)*0.5144444444/20</f>
        <v>7.305111110080002</v>
      </c>
      <c r="B14" s="27">
        <f>A14/(9.81*Input!$B$6)^0.5</f>
        <v>0.16289786476058848</v>
      </c>
      <c r="C14" s="27">
        <f>A14*Input!$B$6/Input!$B$68</f>
        <v>1260243858.9299002</v>
      </c>
      <c r="D14" s="25">
        <f t="shared" si="0"/>
        <v>0.0014876095400069896</v>
      </c>
      <c r="E14" s="29">
        <f>(1-Input!$B$10+0.06*Input!$B$10*Input!$B$9/(4*Input!$B$10-1))*Input!$B$6</f>
        <v>74.61021171171173</v>
      </c>
      <c r="F14" s="30">
        <f>IF((Input!$B$8/Input!$B$6)&gt;0.05,((Input!$B$8/Input!$B$6)^0.2228446),(IF((Input!$B$8/Input!$B$6)&gt;0.02,(0.479948+48.2*(Input!$B$8/Input!$B$6-0.02)^2.078),0.479948)))</f>
        <v>0.5102208281235032</v>
      </c>
      <c r="G14" s="25">
        <f>1+0.003*Input!$B$15</f>
        <v>1.03</v>
      </c>
      <c r="H14" s="25">
        <f>G14*(0.93+F14*((Input!$B$7/E14)^0.92497)*((0.95-Input!$B$10)^(-0.521448))*((1-Input!$B$10+0.0225*Input!$B$9)^0.6906))</f>
        <v>1.1623512166412657</v>
      </c>
      <c r="I14" s="29">
        <f>IF(Input!$B$20&gt;0,Input!$B$20,Input!$B$6*(2*Input!$B$8+Input!$B$7)*(Input!$B$12^0.5)*(0.453+0.4425*Input!$B$11-0.2862*Input!$B$12-0.003467*(Input!$B$7/Input!$B$8)+0.3696*Input!$B$13)+2.38*Input!$B$14/Input!$B$11)</f>
        <v>7381.43</v>
      </c>
      <c r="J14" s="29">
        <f>Input!$B$6*Input!$B$7*Input!$B$8*Input!$B$11</f>
        <v>37523.2</v>
      </c>
      <c r="K14" s="31">
        <f>1+89*EXP(-1*((Input!$B$6/Input!$B$7)^0.80856)*((1-Input!$B$13)^0.30484)*((1-Input!$B$10-0.0225*Input!$B$9)^0.6367)*((Calculates!$E$3/Input!$B$7)^0.34574)*((100*Calculates!$J$3/(Input!$B$6^3))^0.16302))</f>
        <v>11.822355456040485</v>
      </c>
      <c r="L14" s="25">
        <f>IF(Input!$B$7/Input!$B$6&lt;0.11,(0.229577*(Input!$B$7/Input!$B$6)^0.33333),(IF(Input!$B$7/Input!$B$6&lt;0.25,(Input!$B$7/Input!$B$6),(0.5-0.0625*Input!$B$7/Input!$B$6))))</f>
        <v>0.15609756097560976</v>
      </c>
      <c r="M14" s="25">
        <f>2223105*(L14^3.78613)*((Input!$B$8/Input!$B$7)^1.07961)*((90-Calculates!K14)^(-1.37565))</f>
        <v>1.3914538154228873</v>
      </c>
      <c r="N14" s="25">
        <f>0.56*(Input!$B$14^1.5)/(Input!$B$7*Input!$B$8*(0.31*(Input!$B$14^0.5)+Input!$B$16-Input!$B$18))</f>
        <v>0.021191048493160156</v>
      </c>
      <c r="O14" s="25">
        <f t="shared" si="1"/>
        <v>0.7594733474184135</v>
      </c>
      <c r="P14" s="25">
        <f>1-0.8*Input!$B$19/(Input!$B$7*Input!$B$8*Input!$B$12)</f>
        <v>0.9591836734693877</v>
      </c>
      <c r="Q14" s="25">
        <f>IF(Input!$B$6/Input!$B$7&lt;12,(1.446*Input!$B$10-0.03*Input!$B$6/Input!$B$7),(1.446*Input!$B$10-0.36))</f>
        <v>0.6508305</v>
      </c>
      <c r="R14" s="25">
        <f>IF(Input!$B$10&lt;0.8,(8.07981*(Input!$B$10)-13.8673*(Input!$B$10^2)+6.984388*(Input!$B$10^3)),(1.73014-0.7067*Input!$B$10))</f>
        <v>1.3811799089593564</v>
      </c>
      <c r="S14" s="25">
        <f>0.0140407*(Input!$B$6/Input!$B$8)-1.75254*((Calculates!J14^(1/3))/Input!$B$6)-4.79323*(Input!$B$7/Input!$B$6)-Calculates!R14</f>
        <v>-2.12776436725836</v>
      </c>
      <c r="T14" s="25">
        <f>(Input!$B$6^3)/Calculates!J14</f>
        <v>229.59462412587413</v>
      </c>
      <c r="U14" s="25">
        <f t="shared" si="2"/>
        <v>-1.69385</v>
      </c>
      <c r="V14" s="25">
        <f>U14*(Input!$B$10^2)*EXP(-0.1*(Calculates!B14^(-2)))</f>
        <v>-0.013291398409815499</v>
      </c>
      <c r="W14" s="25">
        <f>0.56*(Input!$B$14^0.5)/(Input!$B$16-1.5*Input!$B$18)</f>
        <v>0.6260990336999412</v>
      </c>
      <c r="X14" s="25">
        <f>A14/((9.81*(Input!$B$16-Input!$B$18-0.25*(Input!$B$14^0.5))+0.15*Calculates!A14^2)^0.5)</f>
        <v>0.9770874065033239</v>
      </c>
      <c r="Y14" s="25">
        <f>IF(Input!$B$19=0,0,A14/(2*9.81*Input!$B$19/(Input!$B$7+Input!$B$7*Input!$B$13))^0.5)</f>
        <v>3.0853990861397143</v>
      </c>
      <c r="Z14" s="25">
        <f t="shared" si="3"/>
        <v>0.07658403655441143</v>
      </c>
      <c r="AA14" s="25">
        <f>IF(Input!$B$16/Input!$B$6&gt;0.04,0.04,Input!$B$16/Input!$B$6)</f>
        <v>0.04</v>
      </c>
      <c r="AB14" s="25">
        <f>0.006*((Input!$B$6+100)^(-0.16))-0.00205+0.003*((Input!$B$6/7.5)^0.5)*(Input!$B$11^4)*Calculates!O14*(0.04-Calculates!AA14)</f>
        <v>0.00035249933476840445</v>
      </c>
      <c r="AC14" s="25">
        <f>1.45*Input!$B$10-0.315-0.0225*Input!$B$9</f>
        <v>0.5757999999999999</v>
      </c>
      <c r="AD14" s="25">
        <f>IF(Input!$B$7/Input!$B$17&lt;5,(Input!$B$7*Calculates!I14/(Input!$B$6*Input!$B$58*Input!$B$17)),(Calculates!I14*(7*Input!$B$7/Input!$B$17-25)/(Input!$B$6*Input!$B$58(Input!$B$7/Input!$B$17-3))))</f>
        <v>12.661793621013134</v>
      </c>
      <c r="AE14" s="25">
        <f t="shared" si="4"/>
        <v>12.661793621013134</v>
      </c>
      <c r="AF14" s="25">
        <f>IF(Input!$B$17/Input!$B$58&lt;2,Input!$B$17/Input!$B$58,0.0833333*((Input!$B$17/Input!$B$58)^3)+1.33333)</f>
        <v>1.098901098901099</v>
      </c>
      <c r="AG14" s="25">
        <f t="shared" si="5"/>
        <v>0.0020816240934826823</v>
      </c>
      <c r="AH14" s="25">
        <f>IF(Input!$B$6/Input!$B$7&gt;5.2,Input!$B$7/Input!$B$6,0.25-0.003328402/((Input!$B$7/Input!$B$6)-0.134615385))</f>
        <v>0.15609756097560976</v>
      </c>
      <c r="AI14" s="25">
        <f>0.5*D14*I14*(A14^2)*Input!$B$69</f>
        <v>300314.97043142474</v>
      </c>
      <c r="AJ14" s="25">
        <f t="shared" si="6"/>
        <v>0</v>
      </c>
      <c r="AK14" s="21">
        <f t="shared" si="7"/>
        <v>0</v>
      </c>
      <c r="AL14" s="25">
        <f>0.5*AK14*AJ14*D14*(A14^2)*Input!$B$69+BH14</f>
        <v>0</v>
      </c>
      <c r="AM14" s="27">
        <f>M14*O14*P14*J14*9.81*EXP(S14*(B14^-0.9)+V14*COS(Q14*(B14^-2)))*Input!$B$69</f>
        <v>7022.531190493921</v>
      </c>
      <c r="AN14" s="25">
        <f>IF(Input!$B$14=0,0,0.11*EXP(-3*W14^-2)*(X14^3)*9.81*(Input!$B$14^1.5)*Input!$B$69/(1+(Calculates!X14^2)))</f>
        <v>22.406213546947058</v>
      </c>
      <c r="AO14" s="25">
        <f>0.5*Z14*(A14^2)*Input!$B$69*Input!$B$19</f>
        <v>33512.417463413614</v>
      </c>
      <c r="AP14" s="25">
        <f>0.5*I14*AB14*(A14^2)*Input!$B$69</f>
        <v>71161.70234937647</v>
      </c>
      <c r="AQ14" s="27">
        <f t="shared" si="8"/>
        <v>460790.52847338316</v>
      </c>
      <c r="AR14" s="25">
        <f>IF(Input!$B$60=0.2,(0.001979*Input!$B$6/(Input!$B$7-Input!$B$7*Calculates!AC14)+1.0585*Calculates!AH14-0.00524-0.1418*(Input!$B$58^2)/(Input!$B$7*Input!$B$8)+0.0015*Input!$B$15),(0.325*Input!$B$11-0.1885*Input!$B$58/((Input!$B$7*Input!$B$8)^2)))</f>
        <v>0.16818085920204173</v>
      </c>
      <c r="AS14" s="25">
        <f>IF(Input!$B$60=0.2,(Calculates!AE14*Calculates!AG14*(Input!$B$6/Input!$B$17)*(0.0661875+1.21756*Calculates!AF14*Calculates!AG14/(1-Calculates!AC14))+0.24558*(Input!$B$7/(Input!$B$6*(1-Calculates!AC14)))^0.5-0.09726/(0.95-Input!$B$10)+0.11434/(0.95-Input!$B$11)+0.75*Input!$B$15*Calculates!AG14+0.002*Input!$B$15),(0.3095*Input!$B$11+10*Input!$B$11*Calculates!AG14-0.23*Input!$B$58/((Input!$B$7*Input!$B$8)^0.5)))</f>
        <v>0.2613677350517151</v>
      </c>
      <c r="AT14" s="25">
        <f>IF(Input!$B$60=0.2,(0.9922-0.05908*Calculates!AV14+0.07424*(Input!$B$10-0.0225*Input!$B$9)),(0.9737+0.111*(Input!$B$10-0.0225*Input!$B$9)-0.06325*Input!$B$57/Input!$B$58))</f>
        <v>1.0198237419841094</v>
      </c>
      <c r="AU14" s="25">
        <f t="shared" si="9"/>
        <v>553955.1879406743</v>
      </c>
      <c r="AV14" s="25">
        <f>Input!$B$60+(1.3+0.3*Input!$B$56)*AU14/((Input!$B$58^2)*(99047+Input!$B$69*9.81*(Input!$B$8-Input!$B$59)))</f>
        <v>0.32214600568535146</v>
      </c>
      <c r="AW14" s="25">
        <f>2.073*AV14*Input!$B$58/Input!$B$56</f>
        <v>1.215411779010035</v>
      </c>
      <c r="AX14" s="25">
        <f>(0.0185-0.00125*Input!$B$56)*Input!$B$58/Calculates!AW14</f>
        <v>0.0917178868307476</v>
      </c>
      <c r="AY14" s="25">
        <f t="shared" si="10"/>
        <v>-0.00031134490967466065</v>
      </c>
      <c r="AZ14" s="27">
        <f t="shared" si="11"/>
        <v>3366126.008970547</v>
      </c>
      <c r="BA14" s="25">
        <f>AZ14/(AT14*0.99*Input!$B$61*(1-Calculates!AR14)/(1-Calculates!AS14))</f>
        <v>4699253.484421775</v>
      </c>
      <c r="BB14" s="45"/>
      <c r="BC14" s="46"/>
      <c r="BD14" s="22">
        <f>Input!D50</f>
        <v>0</v>
      </c>
      <c r="BE14" s="47">
        <f>SUM(BE3:BE13)</f>
        <v>0</v>
      </c>
      <c r="BF14" s="21">
        <f>Input!E50</f>
        <v>1</v>
      </c>
      <c r="BG14" s="44">
        <f>SUM(BG3:BG13)</f>
        <v>0</v>
      </c>
      <c r="BH14" s="25">
        <f>0.007*3.14*(A14^2)*(($BF$14^2)*$BD$14+($BF$15^2)*$BD$15)*Input!$B$69</f>
        <v>0</v>
      </c>
    </row>
    <row r="15" spans="1:60" ht="12.75">
      <c r="A15" s="21">
        <f>A14+(Input!$B$65-Input!$B$64)*0.5144444444/20</f>
        <v>7.9224444433600025</v>
      </c>
      <c r="B15" s="27">
        <f>A15/(9.81*Input!$B$6)^0.5</f>
        <v>0.17666388150167367</v>
      </c>
      <c r="C15" s="27">
        <f>A15*Input!$B$6/Input!$B$68</f>
        <v>1366743339.9720614</v>
      </c>
      <c r="D15" s="25">
        <f t="shared" si="0"/>
        <v>0.0014729556944298268</v>
      </c>
      <c r="E15" s="29">
        <f>(1-Input!$B$10+0.06*Input!$B$10*Input!$B$9/(4*Input!$B$10-1))*Input!$B$6</f>
        <v>74.61021171171173</v>
      </c>
      <c r="F15" s="30">
        <f>IF((Input!$B$8/Input!$B$6)&gt;0.05,((Input!$B$8/Input!$B$6)^0.2228446),(IF((Input!$B$8/Input!$B$6)&gt;0.02,(0.479948+48.2*(Input!$B$8/Input!$B$6-0.02)^2.078),0.479948)))</f>
        <v>0.5102208281235032</v>
      </c>
      <c r="G15" s="25">
        <f>1+0.003*Input!$B$15</f>
        <v>1.03</v>
      </c>
      <c r="H15" s="25">
        <f>G15*(0.93+F15*((Input!$B$7/E15)^0.92497)*((0.95-Input!$B$10)^(-0.521448))*((1-Input!$B$10+0.0225*Input!$B$9)^0.6906))</f>
        <v>1.1623512166412657</v>
      </c>
      <c r="I15" s="29">
        <f>IF(Input!$B$20&gt;0,Input!$B$20,Input!$B$6*(2*Input!$B$8+Input!$B$7)*(Input!$B$12^0.5)*(0.453+0.4425*Input!$B$11-0.2862*Input!$B$12-0.003467*(Input!$B$7/Input!$B$8)+0.3696*Input!$B$13)+2.38*Input!$B$14/Input!$B$11)</f>
        <v>7381.43</v>
      </c>
      <c r="J15" s="29">
        <f>Input!$B$6*Input!$B$7*Input!$B$8*Input!$B$11</f>
        <v>37523.2</v>
      </c>
      <c r="K15" s="31">
        <f>1+89*EXP(-1*((Input!$B$6/Input!$B$7)^0.80856)*((1-Input!$B$13)^0.30484)*((1-Input!$B$10-0.0225*Input!$B$9)^0.6367)*((Calculates!$E$3/Input!$B$7)^0.34574)*((100*Calculates!$J$3/(Input!$B$6^3))^0.16302))</f>
        <v>11.822355456040485</v>
      </c>
      <c r="L15" s="25">
        <f>IF(Input!$B$7/Input!$B$6&lt;0.11,(0.229577*(Input!$B$7/Input!$B$6)^0.33333),(IF(Input!$B$7/Input!$B$6&lt;0.25,(Input!$B$7/Input!$B$6),(0.5-0.0625*Input!$B$7/Input!$B$6))))</f>
        <v>0.15609756097560976</v>
      </c>
      <c r="M15" s="25">
        <f>2223105*(L15^3.78613)*((Input!$B$8/Input!$B$7)^1.07961)*((90-Calculates!K15)^(-1.37565))</f>
        <v>1.3914538154228873</v>
      </c>
      <c r="N15" s="25">
        <f>0.56*(Input!$B$14^1.5)/(Input!$B$7*Input!$B$8*(0.31*(Input!$B$14^0.5)+Input!$B$16-Input!$B$18))</f>
        <v>0.021191048493160156</v>
      </c>
      <c r="O15" s="25">
        <f t="shared" si="1"/>
        <v>0.7594733474184135</v>
      </c>
      <c r="P15" s="25">
        <f>1-0.8*Input!$B$19/(Input!$B$7*Input!$B$8*Input!$B$12)</f>
        <v>0.9591836734693877</v>
      </c>
      <c r="Q15" s="25">
        <f>IF(Input!$B$6/Input!$B$7&lt;12,(1.446*Input!$B$10-0.03*Input!$B$6/Input!$B$7),(1.446*Input!$B$10-0.36))</f>
        <v>0.6508305</v>
      </c>
      <c r="R15" s="25">
        <f>IF(Input!$B$10&lt;0.8,(8.07981*(Input!$B$10)-13.8673*(Input!$B$10^2)+6.984388*(Input!$B$10^3)),(1.73014-0.7067*Input!$B$10))</f>
        <v>1.3811799089593564</v>
      </c>
      <c r="S15" s="25">
        <f>0.0140407*(Input!$B$6/Input!$B$8)-1.75254*((Calculates!J15^(1/3))/Input!$B$6)-4.79323*(Input!$B$7/Input!$B$6)-Calculates!R15</f>
        <v>-2.12776436725836</v>
      </c>
      <c r="T15" s="25">
        <f>(Input!$B$6^3)/Calculates!J15</f>
        <v>229.59462412587413</v>
      </c>
      <c r="U15" s="25">
        <f t="shared" si="2"/>
        <v>-1.69385</v>
      </c>
      <c r="V15" s="25">
        <f>U15*(Input!$B$10^2)*EXP(-0.1*(Calculates!B15^(-2)))</f>
        <v>-0.02337191129922432</v>
      </c>
      <c r="W15" s="25">
        <f>0.56*(Input!$B$14^0.5)/(Input!$B$16-1.5*Input!$B$18)</f>
        <v>0.6260990336999412</v>
      </c>
      <c r="X15" s="25">
        <f>A15/((9.81*(Input!$B$16-Input!$B$18-0.25*(Input!$B$14^0.5))+0.15*Calculates!A15^2)^0.5)</f>
        <v>1.046540194801551</v>
      </c>
      <c r="Y15" s="25">
        <f>IF(Input!$B$19=0,0,A15/(2*9.81*Input!$B$19/(Input!$B$7+Input!$B$7*Input!$B$13))^0.5)</f>
        <v>3.3461370370953754</v>
      </c>
      <c r="Z15" s="25">
        <f t="shared" si="3"/>
        <v>0.06615451851618497</v>
      </c>
      <c r="AA15" s="25">
        <f>IF(Input!$B$16/Input!$B$6&gt;0.04,0.04,Input!$B$16/Input!$B$6)</f>
        <v>0.04</v>
      </c>
      <c r="AB15" s="25">
        <f>0.006*((Input!$B$6+100)^(-0.16))-0.00205+0.003*((Input!$B$6/7.5)^0.5)*(Input!$B$11^4)*Calculates!O15*(0.04-Calculates!AA15)</f>
        <v>0.00035249933476840445</v>
      </c>
      <c r="AC15" s="25">
        <f>1.45*Input!$B$10-0.315-0.0225*Input!$B$9</f>
        <v>0.5757999999999999</v>
      </c>
      <c r="AD15" s="25">
        <f>IF(Input!$B$7/Input!$B$17&lt;5,(Input!$B$7*Calculates!I15/(Input!$B$6*Input!$B$58*Input!$B$17)),(Calculates!I15*(7*Input!$B$7/Input!$B$17-25)/(Input!$B$6*Input!$B$58(Input!$B$7/Input!$B$17-3))))</f>
        <v>12.661793621013134</v>
      </c>
      <c r="AE15" s="25">
        <f t="shared" si="4"/>
        <v>12.661793621013134</v>
      </c>
      <c r="AF15" s="25">
        <f>IF(Input!$B$17/Input!$B$58&lt;2,Input!$B$17/Input!$B$58,0.0833333*((Input!$B$17/Input!$B$58)^3)+1.33333)</f>
        <v>1.098901098901099</v>
      </c>
      <c r="AG15" s="25">
        <f t="shared" si="5"/>
        <v>0.002064591178247594</v>
      </c>
      <c r="AH15" s="25">
        <f>IF(Input!$B$6/Input!$B$7&gt;5.2,Input!$B$7/Input!$B$6,0.25-0.003328402/((Input!$B$7/Input!$B$6)-0.134615385))</f>
        <v>0.15609756097560976</v>
      </c>
      <c r="AI15" s="25">
        <f>0.5*D15*I15*(A15^2)*Input!$B$69</f>
        <v>349737.7113728979</v>
      </c>
      <c r="AJ15" s="25">
        <f t="shared" si="6"/>
        <v>0</v>
      </c>
      <c r="AK15" s="21">
        <f t="shared" si="7"/>
        <v>0</v>
      </c>
      <c r="AL15" s="25">
        <f>0.5*AK15*AJ15*D15*(A15^2)*Input!$B$69+BH15</f>
        <v>0</v>
      </c>
      <c r="AM15" s="27">
        <f>M15*O15*P15*J15*9.81*EXP(S15*(B15^-0.9)+V15*COS(Q15*(B15^-2)))*Input!$B$69</f>
        <v>15439.547115044272</v>
      </c>
      <c r="AN15" s="25">
        <f>IF(Input!$B$14=0,0,0.11*EXP(-3*W15^-2)*(X15^3)*9.81*(Input!$B$14^1.5)*Input!$B$69/(1+(Calculates!X15^2)))</f>
        <v>25.68508056879273</v>
      </c>
      <c r="AO15" s="25">
        <f>0.5*Z15*(A15^2)*Input!$B$69*Input!$B$19</f>
        <v>34048.01283641361</v>
      </c>
      <c r="AP15" s="25">
        <f>0.5*I15*AB15*(A15^2)*Input!$B$69</f>
        <v>83697.22936581107</v>
      </c>
      <c r="AQ15" s="27">
        <f t="shared" si="8"/>
        <v>539728.5287174574</v>
      </c>
      <c r="AR15" s="25">
        <f>IF(Input!$B$60=0.2,(0.001979*Input!$B$6/(Input!$B$7-Input!$B$7*Calculates!AC15)+1.0585*Calculates!AH15-0.00524-0.1418*(Input!$B$58^2)/(Input!$B$7*Input!$B$8)+0.0015*Input!$B$15),(0.325*Input!$B$11-0.1885*Input!$B$58/((Input!$B$7*Input!$B$8)^2)))</f>
        <v>0.16818085920204173</v>
      </c>
      <c r="AS15" s="25">
        <f>IF(Input!$B$60=0.2,(Calculates!AE15*Calculates!AG15*(Input!$B$6/Input!$B$17)*(0.0661875+1.21756*Calculates!AF15*Calculates!AG15/(1-Calculates!AC15))+0.24558*(Input!$B$7/(Input!$B$6*(1-Calculates!AC15)))^0.5-0.09726/(0.95-Input!$B$10)+0.11434/(0.95-Input!$B$11)+0.75*Input!$B$15*Calculates!AG15+0.002*Input!$B$15),(0.3095*Input!$B$11+10*Input!$B$11*Calculates!AG15-0.23*Input!$B$58/((Input!$B$7*Input!$B$8)^0.5)))</f>
        <v>0.26088954272820464</v>
      </c>
      <c r="AT15" s="25">
        <f>IF(Input!$B$60=0.2,(0.9922-0.05908*Calculates!AV15+0.07424*(Input!$B$10-0.0225*Input!$B$9)),(0.9737+0.111*(Input!$B$10-0.0225*Input!$B$9)-0.06325*Input!$B$57/Input!$B$58))</f>
        <v>1.0185875032902045</v>
      </c>
      <c r="AU15" s="25">
        <f t="shared" si="9"/>
        <v>648853.2209053276</v>
      </c>
      <c r="AV15" s="25">
        <f>Input!$B$60+(1.3+0.3*Input!$B$56)*AU15/((Input!$B$58^2)*(99047+Input!$B$69*9.81*(Input!$B$8-Input!$B$59)))</f>
        <v>0.34307083124230714</v>
      </c>
      <c r="AW15" s="25">
        <f>2.073*AV15*Input!$B$58/Input!$B$56</f>
        <v>1.294358216360851</v>
      </c>
      <c r="AX15" s="25">
        <f>(0.0185-0.00125*Input!$B$56)*Input!$B$58/Calculates!AW15</f>
        <v>0.08612376279683781</v>
      </c>
      <c r="AY15" s="25">
        <f t="shared" si="10"/>
        <v>-0.00020559229144940212</v>
      </c>
      <c r="AZ15" s="27">
        <f t="shared" si="11"/>
        <v>4275969.28326049</v>
      </c>
      <c r="BA15" s="25">
        <f>AZ15/(AT15*0.99*Input!$B$61*(1-Calculates!AR15)/(1-Calculates!AS15))</f>
        <v>5980547.256211808</v>
      </c>
      <c r="BB15" s="43"/>
      <c r="BD15" s="22">
        <f>Input!D51</f>
        <v>0</v>
      </c>
      <c r="BE15" s="22"/>
      <c r="BF15" s="21">
        <f>Input!E51</f>
        <v>1</v>
      </c>
      <c r="BH15" s="25">
        <f>0.007*3.14*(A15^2)*(($BF$14^2)*$BD$14+($BF$15^2)*$BD$15)*Input!$B$69</f>
        <v>0</v>
      </c>
    </row>
    <row r="16" spans="1:60" ht="12.75">
      <c r="A16" s="21">
        <f>A15+(Input!$B$65-Input!$B$64)*0.5144444444/20</f>
        <v>8.539777776640003</v>
      </c>
      <c r="B16" s="27">
        <f>A16/(9.81*Input!$B$6)^0.5</f>
        <v>0.19042989824275888</v>
      </c>
      <c r="C16" s="27">
        <f>A16*Input!$B$6/Input!$B$68</f>
        <v>1473242821.0142226</v>
      </c>
      <c r="D16" s="25">
        <f t="shared" si="0"/>
        <v>0.0014595938611284864</v>
      </c>
      <c r="E16" s="29">
        <f>(1-Input!$B$10+0.06*Input!$B$10*Input!$B$9/(4*Input!$B$10-1))*Input!$B$6</f>
        <v>74.61021171171173</v>
      </c>
      <c r="F16" s="30">
        <f>IF((Input!$B$8/Input!$B$6)&gt;0.05,((Input!$B$8/Input!$B$6)^0.2228446),(IF((Input!$B$8/Input!$B$6)&gt;0.02,(0.479948+48.2*(Input!$B$8/Input!$B$6-0.02)^2.078),0.479948)))</f>
        <v>0.5102208281235032</v>
      </c>
      <c r="G16" s="25">
        <f>1+0.003*Input!$B$15</f>
        <v>1.03</v>
      </c>
      <c r="H16" s="25">
        <f>G16*(0.93+F16*((Input!$B$7/E16)^0.92497)*((0.95-Input!$B$10)^(-0.521448))*((1-Input!$B$10+0.0225*Input!$B$9)^0.6906))</f>
        <v>1.1623512166412657</v>
      </c>
      <c r="I16" s="29">
        <f>IF(Input!$B$20&gt;0,Input!$B$20,Input!$B$6*(2*Input!$B$8+Input!$B$7)*(Input!$B$12^0.5)*(0.453+0.4425*Input!$B$11-0.2862*Input!$B$12-0.003467*(Input!$B$7/Input!$B$8)+0.3696*Input!$B$13)+2.38*Input!$B$14/Input!$B$11)</f>
        <v>7381.43</v>
      </c>
      <c r="J16" s="29">
        <f>Input!$B$6*Input!$B$7*Input!$B$8*Input!$B$11</f>
        <v>37523.2</v>
      </c>
      <c r="K16" s="31">
        <f>1+89*EXP(-1*((Input!$B$6/Input!$B$7)^0.80856)*((1-Input!$B$13)^0.30484)*((1-Input!$B$10-0.0225*Input!$B$9)^0.6367)*((Calculates!$E$3/Input!$B$7)^0.34574)*((100*Calculates!$J$3/(Input!$B$6^3))^0.16302))</f>
        <v>11.822355456040485</v>
      </c>
      <c r="L16" s="25">
        <f>IF(Input!$B$7/Input!$B$6&lt;0.11,(0.229577*(Input!$B$7/Input!$B$6)^0.33333),(IF(Input!$B$7/Input!$B$6&lt;0.25,(Input!$B$7/Input!$B$6),(0.5-0.0625*Input!$B$7/Input!$B$6))))</f>
        <v>0.15609756097560976</v>
      </c>
      <c r="M16" s="25">
        <f>2223105*(L16^3.78613)*((Input!$B$8/Input!$B$7)^1.07961)*((90-Calculates!K16)^(-1.37565))</f>
        <v>1.3914538154228873</v>
      </c>
      <c r="N16" s="25">
        <f>0.56*(Input!$B$14^1.5)/(Input!$B$7*Input!$B$8*(0.31*(Input!$B$14^0.5)+Input!$B$16-Input!$B$18))</f>
        <v>0.021191048493160156</v>
      </c>
      <c r="O16" s="25">
        <f t="shared" si="1"/>
        <v>0.7594733474184135</v>
      </c>
      <c r="P16" s="25">
        <f>1-0.8*Input!$B$19/(Input!$B$7*Input!$B$8*Input!$B$12)</f>
        <v>0.9591836734693877</v>
      </c>
      <c r="Q16" s="25">
        <f>IF(Input!$B$6/Input!$B$7&lt;12,(1.446*Input!$B$10-0.03*Input!$B$6/Input!$B$7),(1.446*Input!$B$10-0.36))</f>
        <v>0.6508305</v>
      </c>
      <c r="R16" s="25">
        <f>IF(Input!$B$10&lt;0.8,(8.07981*(Input!$B$10)-13.8673*(Input!$B$10^2)+6.984388*(Input!$B$10^3)),(1.73014-0.7067*Input!$B$10))</f>
        <v>1.3811799089593564</v>
      </c>
      <c r="S16" s="25">
        <f>0.0140407*(Input!$B$6/Input!$B$8)-1.75254*((Calculates!J16^(1/3))/Input!$B$6)-4.79323*(Input!$B$7/Input!$B$6)-Calculates!R16</f>
        <v>-2.12776436725836</v>
      </c>
      <c r="T16" s="25">
        <f>(Input!$B$6^3)/Calculates!J16</f>
        <v>229.59462412587413</v>
      </c>
      <c r="U16" s="25">
        <f t="shared" si="2"/>
        <v>-1.69385</v>
      </c>
      <c r="V16" s="25">
        <f>U16*(Input!$B$10^2)*EXP(-0.1*(Calculates!B16^(-2)))</f>
        <v>-0.03652631367629854</v>
      </c>
      <c r="W16" s="25">
        <f>0.56*(Input!$B$14^0.5)/(Input!$B$16-1.5*Input!$B$18)</f>
        <v>0.6260990336999412</v>
      </c>
      <c r="X16" s="25">
        <f>A16/((9.81*(Input!$B$16-Input!$B$18-0.25*(Input!$B$14^0.5))+0.15*Calculates!A16^2)^0.5)</f>
        <v>1.113377664888223</v>
      </c>
      <c r="Y16" s="25">
        <f>IF(Input!$B$19=0,0,A16/(2*9.81*Input!$B$19/(Input!$B$7+Input!$B$7*Input!$B$13))^0.5)</f>
        <v>3.606874988051037</v>
      </c>
      <c r="Z16" s="25">
        <f t="shared" si="3"/>
        <v>0.055725000477958524</v>
      </c>
      <c r="AA16" s="25">
        <f>IF(Input!$B$16/Input!$B$6&gt;0.04,0.04,Input!$B$16/Input!$B$6)</f>
        <v>0.04</v>
      </c>
      <c r="AB16" s="25">
        <f>0.006*((Input!$B$6+100)^(-0.16))-0.00205+0.003*((Input!$B$6/7.5)^0.5)*(Input!$B$11^4)*Calculates!O16*(0.04-Calculates!AA16)</f>
        <v>0.00035249933476840445</v>
      </c>
      <c r="AC16" s="25">
        <f>1.45*Input!$B$10-0.315-0.0225*Input!$B$9</f>
        <v>0.5757999999999999</v>
      </c>
      <c r="AD16" s="25">
        <f>IF(Input!$B$7/Input!$B$17&lt;5,(Input!$B$7*Calculates!I16/(Input!$B$6*Input!$B$58*Input!$B$17)),(Calculates!I16*(7*Input!$B$7/Input!$B$17-25)/(Input!$B$6*Input!$B$58(Input!$B$7/Input!$B$17-3))))</f>
        <v>12.661793621013134</v>
      </c>
      <c r="AE16" s="25">
        <f t="shared" si="4"/>
        <v>12.661793621013134</v>
      </c>
      <c r="AF16" s="25">
        <f>IF(Input!$B$17/Input!$B$58&lt;2,Input!$B$17/Input!$B$58,0.0833333*((Input!$B$17/Input!$B$58)^3)+1.33333)</f>
        <v>1.098901098901099</v>
      </c>
      <c r="AG16" s="25">
        <f t="shared" si="5"/>
        <v>0.0020490600350532235</v>
      </c>
      <c r="AH16" s="25">
        <f>IF(Input!$B$6/Input!$B$7&gt;5.2,Input!$B$7/Input!$B$6,0.25-0.003328402/((Input!$B$7/Input!$B$6)-0.134615385))</f>
        <v>0.15609756097560976</v>
      </c>
      <c r="AI16" s="25">
        <f>0.5*D16*I16*(A16^2)*Input!$B$69</f>
        <v>402679.52026495</v>
      </c>
      <c r="AJ16" s="25">
        <f t="shared" si="6"/>
        <v>0</v>
      </c>
      <c r="AK16" s="21">
        <f t="shared" si="7"/>
        <v>0</v>
      </c>
      <c r="AL16" s="25">
        <f>0.5*AK16*AJ16*D16*(A16^2)*Input!$B$69+BH16</f>
        <v>0</v>
      </c>
      <c r="AM16" s="27">
        <f>M16*O16*P16*J16*9.81*EXP(S16*(B16^-0.9)+V16*COS(Q16*(B16^-2)))*Input!$B$69</f>
        <v>28957.152686170797</v>
      </c>
      <c r="AN16" s="25">
        <f>IF(Input!$B$14=0,0,0.11*EXP(-3*W16^-2)*(X16^3)*9.81*(Input!$B$14^1.5)*Input!$B$69/(1+(Calculates!X16^2)))</f>
        <v>28.93366457535251</v>
      </c>
      <c r="AO16" s="25">
        <f>0.5*Z16*(A16^2)*Input!$B$69*Input!$B$19</f>
        <v>33323.9959013752</v>
      </c>
      <c r="AP16" s="25">
        <f>0.5*I16*AB16*(A16^2)*Input!$B$69</f>
        <v>97249.15046471269</v>
      </c>
      <c r="AQ16" s="27">
        <f t="shared" si="8"/>
        <v>627614.2630133198</v>
      </c>
      <c r="AR16" s="25">
        <f>IF(Input!$B$60=0.2,(0.001979*Input!$B$6/(Input!$B$7-Input!$B$7*Calculates!AC16)+1.0585*Calculates!AH16-0.00524-0.1418*(Input!$B$58^2)/(Input!$B$7*Input!$B$8)+0.0015*Input!$B$15),(0.325*Input!$B$11-0.1885*Input!$B$58/((Input!$B$7*Input!$B$8)^2)))</f>
        <v>0.16818085920204173</v>
      </c>
      <c r="AS16" s="25">
        <f>IF(Input!$B$60=0.2,(Calculates!AE16*Calculates!AG16*(Input!$B$6/Input!$B$17)*(0.0661875+1.21756*Calculates!AF16*Calculates!AG16/(1-Calculates!AC16))+0.24558*(Input!$B$7/(Input!$B$6*(1-Calculates!AC16)))^0.5-0.09726/(0.95-Input!$B$10)+0.11434/(0.95-Input!$B$11)+0.75*Input!$B$15*Calculates!AG16+0.002*Input!$B$15),(0.3095*Input!$B$11+10*Input!$B$11*Calculates!AG16-0.23*Input!$B$58/((Input!$B$7*Input!$B$8)^0.5)))</f>
        <v>0.2604539261234784</v>
      </c>
      <c r="AT16" s="25">
        <f>IF(Input!$B$60=0.2,(0.9922-0.05908*Calculates!AV16+0.07424*(Input!$B$10-0.0225*Input!$B$9)),(0.9737+0.111*(Input!$B$10-0.0225*Input!$B$9)-0.06325*Input!$B$57/Input!$B$58))</f>
        <v>1.0172111351906472</v>
      </c>
      <c r="AU16" s="25">
        <f t="shared" si="9"/>
        <v>754508.080219522</v>
      </c>
      <c r="AV16" s="25">
        <f>Input!$B$60+(1.3+0.3*Input!$B$56)*AU16/((Input!$B$58^2)*(99047+Input!$B$69*9.81*(Input!$B$8-Input!$B$59)))</f>
        <v>0.36636751539188983</v>
      </c>
      <c r="AW16" s="25">
        <f>2.073*AV16*Input!$B$58/Input!$B$56</f>
        <v>1.3822533441214453</v>
      </c>
      <c r="AX16" s="25">
        <f>(0.0185-0.00125*Input!$B$56)*Input!$B$58/Calculates!AW16</f>
        <v>0.0806472999136443</v>
      </c>
      <c r="AY16" s="25">
        <f t="shared" si="10"/>
        <v>-9.911961542430929E-05</v>
      </c>
      <c r="AZ16" s="27">
        <f t="shared" si="11"/>
        <v>5359686.335583442</v>
      </c>
      <c r="BA16" s="25">
        <f>AZ16/(AT16*0.99*Input!$B$61*(1-Calculates!AR16)/(1-Calculates!AS16))</f>
        <v>7510845.884771831</v>
      </c>
      <c r="BB16" s="43"/>
      <c r="BH16" s="25">
        <f>0.007*3.14*(A16^2)*(($BF$14^2)*$BD$14+($BF$15^2)*$BD$15)*Input!$B$69</f>
        <v>0</v>
      </c>
    </row>
    <row r="17" spans="1:60" ht="12.75">
      <c r="A17" s="21">
        <f>A16+(Input!$B$65-Input!$B$64)*0.5144444444/20</f>
        <v>9.157111109920002</v>
      </c>
      <c r="B17" s="27">
        <f>A17/(9.81*Input!$B$6)^0.5</f>
        <v>0.20419591498384407</v>
      </c>
      <c r="C17" s="27">
        <f>A17*Input!$B$6/Input!$B$68</f>
        <v>1579742302.0563836</v>
      </c>
      <c r="D17" s="25">
        <f t="shared" si="0"/>
        <v>0.001447327581959347</v>
      </c>
      <c r="E17" s="29">
        <f>(1-Input!$B$10+0.06*Input!$B$10*Input!$B$9/(4*Input!$B$10-1))*Input!$B$6</f>
        <v>74.61021171171173</v>
      </c>
      <c r="F17" s="30">
        <f>IF((Input!$B$8/Input!$B$6)&gt;0.05,((Input!$B$8/Input!$B$6)^0.2228446),(IF((Input!$B$8/Input!$B$6)&gt;0.02,(0.479948+48.2*(Input!$B$8/Input!$B$6-0.02)^2.078),0.479948)))</f>
        <v>0.5102208281235032</v>
      </c>
      <c r="G17" s="25">
        <f>1+0.003*Input!$B$15</f>
        <v>1.03</v>
      </c>
      <c r="H17" s="25">
        <f>G17*(0.93+F17*((Input!$B$7/E17)^0.92497)*((0.95-Input!$B$10)^(-0.521448))*((1-Input!$B$10+0.0225*Input!$B$9)^0.6906))</f>
        <v>1.1623512166412657</v>
      </c>
      <c r="I17" s="29">
        <f>IF(Input!$B$20&gt;0,Input!$B$20,Input!$B$6*(2*Input!$B$8+Input!$B$7)*(Input!$B$12^0.5)*(0.453+0.4425*Input!$B$11-0.2862*Input!$B$12-0.003467*(Input!$B$7/Input!$B$8)+0.3696*Input!$B$13)+2.38*Input!$B$14/Input!$B$11)</f>
        <v>7381.43</v>
      </c>
      <c r="J17" s="29">
        <f>Input!$B$6*Input!$B$7*Input!$B$8*Input!$B$11</f>
        <v>37523.2</v>
      </c>
      <c r="K17" s="31">
        <f>1+89*EXP(-1*((Input!$B$6/Input!$B$7)^0.80856)*((1-Input!$B$13)^0.30484)*((1-Input!$B$10-0.0225*Input!$B$9)^0.6367)*((Calculates!$E$3/Input!$B$7)^0.34574)*((100*Calculates!$J$3/(Input!$B$6^3))^0.16302))</f>
        <v>11.822355456040485</v>
      </c>
      <c r="L17" s="25">
        <f>IF(Input!$B$7/Input!$B$6&lt;0.11,(0.229577*(Input!$B$7/Input!$B$6)^0.33333),(IF(Input!$B$7/Input!$B$6&lt;0.25,(Input!$B$7/Input!$B$6),(0.5-0.0625*Input!$B$7/Input!$B$6))))</f>
        <v>0.15609756097560976</v>
      </c>
      <c r="M17" s="25">
        <f>2223105*(L17^3.78613)*((Input!$B$8/Input!$B$7)^1.07961)*((90-Calculates!K17)^(-1.37565))</f>
        <v>1.3914538154228873</v>
      </c>
      <c r="N17" s="25">
        <f>0.56*(Input!$B$14^1.5)/(Input!$B$7*Input!$B$8*(0.31*(Input!$B$14^0.5)+Input!$B$16-Input!$B$18))</f>
        <v>0.021191048493160156</v>
      </c>
      <c r="O17" s="25">
        <f t="shared" si="1"/>
        <v>0.7594733474184135</v>
      </c>
      <c r="P17" s="25">
        <f>1-0.8*Input!$B$19/(Input!$B$7*Input!$B$8*Input!$B$12)</f>
        <v>0.9591836734693877</v>
      </c>
      <c r="Q17" s="25">
        <f>IF(Input!$B$6/Input!$B$7&lt;12,(1.446*Input!$B$10-0.03*Input!$B$6/Input!$B$7),(1.446*Input!$B$10-0.36))</f>
        <v>0.6508305</v>
      </c>
      <c r="R17" s="25">
        <f>IF(Input!$B$10&lt;0.8,(8.07981*(Input!$B$10)-13.8673*(Input!$B$10^2)+6.984388*(Input!$B$10^3)),(1.73014-0.7067*Input!$B$10))</f>
        <v>1.3811799089593564</v>
      </c>
      <c r="S17" s="25">
        <f>0.0140407*(Input!$B$6/Input!$B$8)-1.75254*((Calculates!J17^(1/3))/Input!$B$6)-4.79323*(Input!$B$7/Input!$B$6)-Calculates!R17</f>
        <v>-2.12776436725836</v>
      </c>
      <c r="T17" s="25">
        <f>(Input!$B$6^3)/Calculates!J17</f>
        <v>229.59462412587413</v>
      </c>
      <c r="U17" s="25">
        <f t="shared" si="2"/>
        <v>-1.69385</v>
      </c>
      <c r="V17" s="25">
        <f>U17*(Input!$B$10^2)*EXP(-0.1*(Calculates!B17^(-2)))</f>
        <v>-0.052316401261621986</v>
      </c>
      <c r="W17" s="25">
        <f>0.56*(Input!$B$14^0.5)/(Input!$B$16-1.5*Input!$B$18)</f>
        <v>0.6260990336999412</v>
      </c>
      <c r="X17" s="25">
        <f>A17/((9.81*(Input!$B$16-Input!$B$18-0.25*(Input!$B$14^0.5))+0.15*Calculates!A17^2)^0.5)</f>
        <v>1.1775748955901535</v>
      </c>
      <c r="Y17" s="25">
        <f>IF(Input!$B$19=0,0,A17/(2*9.81*Input!$B$19/(Input!$B$7+Input!$B$7*Input!$B$13))^0.5)</f>
        <v>3.867612939006698</v>
      </c>
      <c r="Z17" s="25">
        <f t="shared" si="3"/>
        <v>0.045295482439732075</v>
      </c>
      <c r="AA17" s="25">
        <f>IF(Input!$B$16/Input!$B$6&gt;0.04,0.04,Input!$B$16/Input!$B$6)</f>
        <v>0.04</v>
      </c>
      <c r="AB17" s="25">
        <f>0.006*((Input!$B$6+100)^(-0.16))-0.00205+0.003*((Input!$B$6/7.5)^0.5)*(Input!$B$11^4)*Calculates!O17*(0.04-Calculates!AA17)</f>
        <v>0.00035249933476840445</v>
      </c>
      <c r="AC17" s="25">
        <f>1.45*Input!$B$10-0.315-0.0225*Input!$B$9</f>
        <v>0.5757999999999999</v>
      </c>
      <c r="AD17" s="25">
        <f>IF(Input!$B$7/Input!$B$17&lt;5,(Input!$B$7*Calculates!I17/(Input!$B$6*Input!$B$58*Input!$B$17)),(Calculates!I17*(7*Input!$B$7/Input!$B$17-25)/(Input!$B$6*Input!$B$58(Input!$B$7/Input!$B$17-3))))</f>
        <v>12.661793621013134</v>
      </c>
      <c r="AE17" s="25">
        <f t="shared" si="4"/>
        <v>12.661793621013134</v>
      </c>
      <c r="AF17" s="25">
        <f>IF(Input!$B$17/Input!$B$58&lt;2,Input!$B$17/Input!$B$58,0.0833333*((Input!$B$17/Input!$B$58)^3)+1.33333)</f>
        <v>1.098901098901099</v>
      </c>
      <c r="AG17" s="25">
        <f t="shared" si="5"/>
        <v>0.0020348023105373125</v>
      </c>
      <c r="AH17" s="25">
        <f>IF(Input!$B$6/Input!$B$7&gt;5.2,Input!$B$7/Input!$B$6,0.25-0.003328402/((Input!$B$7/Input!$B$6)-0.134615385))</f>
        <v>0.15609756097560976</v>
      </c>
      <c r="AI17" s="25">
        <f>0.5*D17*I17*(A17^2)*Input!$B$69</f>
        <v>459111.51089318603</v>
      </c>
      <c r="AJ17" s="25">
        <f t="shared" si="6"/>
        <v>0</v>
      </c>
      <c r="AK17" s="21">
        <f t="shared" si="7"/>
        <v>0</v>
      </c>
      <c r="AL17" s="25">
        <f>0.5*AK17*AJ17*D17*(A17^2)*Input!$B$69+BH17</f>
        <v>0</v>
      </c>
      <c r="AM17" s="27">
        <f>M17*O17*P17*J17*9.81*EXP(S17*(B17^-0.9)+V17*COS(Q17*(B17^-2)))*Input!$B$69</f>
        <v>55525.21612470579</v>
      </c>
      <c r="AN17" s="25">
        <f>IF(Input!$B$14=0,0,0.11*EXP(-3*W17^-2)*(X17^3)*9.81*(Input!$B$14^1.5)*Input!$B$69/(1+(Calculates!X17^2)))</f>
        <v>32.123231992230004</v>
      </c>
      <c r="AO17" s="25">
        <f>0.5*Z17*(A17^2)*Input!$B$69*Input!$B$19</f>
        <v>31144.81171551445</v>
      </c>
      <c r="AP17" s="25">
        <f>0.5*I17*AB17*(A17^2)*Input!$B$69</f>
        <v>111817.46564608125</v>
      </c>
      <c r="AQ17" s="27">
        <f t="shared" si="8"/>
        <v>732168.4399789982</v>
      </c>
      <c r="AR17" s="25">
        <f>IF(Input!$B$60=0.2,(0.001979*Input!$B$6/(Input!$B$7-Input!$B$7*Calculates!AC17)+1.0585*Calculates!AH17-0.00524-0.1418*(Input!$B$58^2)/(Input!$B$7*Input!$B$8)+0.0015*Input!$B$15),(0.325*Input!$B$11-0.1885*Input!$B$58/((Input!$B$7*Input!$B$8)^2)))</f>
        <v>0.16818085920204173</v>
      </c>
      <c r="AS17" s="25">
        <f>IF(Input!$B$60=0.2,(Calculates!AE17*Calculates!AG17*(Input!$B$6/Input!$B$17)*(0.0661875+1.21756*Calculates!AF17*Calculates!AG17/(1-Calculates!AC17))+0.24558*(Input!$B$7/(Input!$B$6*(1-Calculates!AC17)))^0.5-0.09726/(0.95-Input!$B$10)+0.11434/(0.95-Input!$B$11)+0.75*Input!$B$15*Calculates!AG17+0.002*Input!$B$15),(0.3095*Input!$B$11+10*Input!$B$11*Calculates!AG17-0.23*Input!$B$58/((Input!$B$7*Input!$B$8)^0.5)))</f>
        <v>0.2600543740136492</v>
      </c>
      <c r="AT17" s="25">
        <f>IF(Input!$B$60=0.2,(0.9922-0.05908*Calculates!AV17+0.07424*(Input!$B$10-0.0225*Input!$B$9)),(0.9737+0.111*(Input!$B$10-0.0225*Input!$B$9)-0.06325*Input!$B$57/Input!$B$58))</f>
        <v>1.0155737245801084</v>
      </c>
      <c r="AU17" s="25">
        <f t="shared" si="9"/>
        <v>880201.4813900942</v>
      </c>
      <c r="AV17" s="25">
        <f>Input!$B$60+(1.3+0.3*Input!$B$56)*AU17/((Input!$B$58^2)*(99047+Input!$B$69*9.81*(Input!$B$8-Input!$B$59)))</f>
        <v>0.39408265775036533</v>
      </c>
      <c r="AW17" s="25">
        <f>2.073*AV17*Input!$B$58/Input!$B$56</f>
        <v>1.4868186961200434</v>
      </c>
      <c r="AX17" s="25">
        <f>(0.0185-0.00125*Input!$B$56)*Input!$B$58/Calculates!AW17</f>
        <v>0.07497551671289966</v>
      </c>
      <c r="AY17" s="25">
        <f t="shared" si="10"/>
        <v>1.470484925669307E-05</v>
      </c>
      <c r="AZ17" s="27">
        <f t="shared" si="11"/>
        <v>6704547.75606448</v>
      </c>
      <c r="BA17" s="25">
        <f>AZ17/(AT17*0.99*Input!$B$61*(1-Calculates!AR17)/(1-Calculates!AS17))</f>
        <v>9415712.43274699</v>
      </c>
      <c r="BH17" s="25">
        <f>0.007*3.14*(A17^2)*(($BF$14^2)*$BD$14+($BF$15^2)*$BD$15)*Input!$B$69</f>
        <v>0</v>
      </c>
    </row>
    <row r="18" spans="1:60" ht="12.75">
      <c r="A18" s="21">
        <f>A17+(Input!$B$65-Input!$B$64)*0.5144444444/20</f>
        <v>9.774444443200002</v>
      </c>
      <c r="B18" s="27">
        <f>A18/(9.81*Input!$B$6)^0.5</f>
        <v>0.21796193172492923</v>
      </c>
      <c r="C18" s="27">
        <f>A18*Input!$B$6/Input!$B$68</f>
        <v>1686241783.0985446</v>
      </c>
      <c r="D18" s="25">
        <f t="shared" si="0"/>
        <v>0.0014360011489970195</v>
      </c>
      <c r="E18" s="29">
        <f>(1-Input!$B$10+0.06*Input!$B$10*Input!$B$9/(4*Input!$B$10-1))*Input!$B$6</f>
        <v>74.61021171171173</v>
      </c>
      <c r="F18" s="30">
        <f>IF((Input!$B$8/Input!$B$6)&gt;0.05,((Input!$B$8/Input!$B$6)^0.2228446),(IF((Input!$B$8/Input!$B$6)&gt;0.02,(0.479948+48.2*(Input!$B$8/Input!$B$6-0.02)^2.078),0.479948)))</f>
        <v>0.5102208281235032</v>
      </c>
      <c r="G18" s="25">
        <f>1+0.003*Input!$B$15</f>
        <v>1.03</v>
      </c>
      <c r="H18" s="25">
        <f>G18*(0.93+F18*((Input!$B$7/E18)^0.92497)*((0.95-Input!$B$10)^(-0.521448))*((1-Input!$B$10+0.0225*Input!$B$9)^0.6906))</f>
        <v>1.1623512166412657</v>
      </c>
      <c r="I18" s="29">
        <f>IF(Input!$B$20&gt;0,Input!$B$20,Input!$B$6*(2*Input!$B$8+Input!$B$7)*(Input!$B$12^0.5)*(0.453+0.4425*Input!$B$11-0.2862*Input!$B$12-0.003467*(Input!$B$7/Input!$B$8)+0.3696*Input!$B$13)+2.38*Input!$B$14/Input!$B$11)</f>
        <v>7381.43</v>
      </c>
      <c r="J18" s="29">
        <f>Input!$B$6*Input!$B$7*Input!$B$8*Input!$B$11</f>
        <v>37523.2</v>
      </c>
      <c r="K18" s="31">
        <f>1+89*EXP(-1*((Input!$B$6/Input!$B$7)^0.80856)*((1-Input!$B$13)^0.30484)*((1-Input!$B$10-0.0225*Input!$B$9)^0.6367)*((Calculates!$E$3/Input!$B$7)^0.34574)*((100*Calculates!$J$3/(Input!$B$6^3))^0.16302))</f>
        <v>11.822355456040485</v>
      </c>
      <c r="L18" s="25">
        <f>IF(Input!$B$7/Input!$B$6&lt;0.11,(0.229577*(Input!$B$7/Input!$B$6)^0.33333),(IF(Input!$B$7/Input!$B$6&lt;0.25,(Input!$B$7/Input!$B$6),(0.5-0.0625*Input!$B$7/Input!$B$6))))</f>
        <v>0.15609756097560976</v>
      </c>
      <c r="M18" s="25">
        <f>2223105*(L18^3.78613)*((Input!$B$8/Input!$B$7)^1.07961)*((90-Calculates!K18)^(-1.37565))</f>
        <v>1.3914538154228873</v>
      </c>
      <c r="N18" s="25">
        <f>0.56*(Input!$B$14^1.5)/(Input!$B$7*Input!$B$8*(0.31*(Input!$B$14^0.5)+Input!$B$16-Input!$B$18))</f>
        <v>0.021191048493160156</v>
      </c>
      <c r="O18" s="25">
        <f t="shared" si="1"/>
        <v>0.7594733474184135</v>
      </c>
      <c r="P18" s="25">
        <f>1-0.8*Input!$B$19/(Input!$B$7*Input!$B$8*Input!$B$12)</f>
        <v>0.9591836734693877</v>
      </c>
      <c r="Q18" s="25">
        <f>IF(Input!$B$6/Input!$B$7&lt;12,(1.446*Input!$B$10-0.03*Input!$B$6/Input!$B$7),(1.446*Input!$B$10-0.36))</f>
        <v>0.6508305</v>
      </c>
      <c r="R18" s="25">
        <f>IF(Input!$B$10&lt;0.8,(8.07981*(Input!$B$10)-13.8673*(Input!$B$10^2)+6.984388*(Input!$B$10^3)),(1.73014-0.7067*Input!$B$10))</f>
        <v>1.3811799089593564</v>
      </c>
      <c r="S18" s="25">
        <f>0.0140407*(Input!$B$6/Input!$B$8)-1.75254*((Calculates!J18^(1/3))/Input!$B$6)-4.79323*(Input!$B$7/Input!$B$6)-Calculates!R18</f>
        <v>-2.12776436725836</v>
      </c>
      <c r="T18" s="25">
        <f>(Input!$B$6^3)/Calculates!J18</f>
        <v>229.59462412587413</v>
      </c>
      <c r="U18" s="25">
        <f t="shared" si="2"/>
        <v>-1.69385</v>
      </c>
      <c r="V18" s="25">
        <f>U18*(Input!$B$10^2)*EXP(-0.1*(Calculates!B18^(-2)))</f>
        <v>-0.07015366638934878</v>
      </c>
      <c r="W18" s="25">
        <f>0.56*(Input!$B$14^0.5)/(Input!$B$16-1.5*Input!$B$18)</f>
        <v>0.6260990336999412</v>
      </c>
      <c r="X18" s="25">
        <f>A18/((9.81*(Input!$B$16-Input!$B$18-0.25*(Input!$B$14^0.5))+0.15*Calculates!A18^2)^0.5)</f>
        <v>1.2391287420129884</v>
      </c>
      <c r="Y18" s="25">
        <f>IF(Input!$B$19=0,0,A18/(2*9.81*Input!$B$19/(Input!$B$7+Input!$B$7*Input!$B$13))^0.5)</f>
        <v>4.128350889962359</v>
      </c>
      <c r="Z18" s="25">
        <f t="shared" si="3"/>
        <v>0.03486596440150563</v>
      </c>
      <c r="AA18" s="25">
        <f>IF(Input!$B$16/Input!$B$6&gt;0.04,0.04,Input!$B$16/Input!$B$6)</f>
        <v>0.04</v>
      </c>
      <c r="AB18" s="25">
        <f>0.006*((Input!$B$6+100)^(-0.16))-0.00205+0.003*((Input!$B$6/7.5)^0.5)*(Input!$B$11^4)*Calculates!O18*(0.04-Calculates!AA18)</f>
        <v>0.00035249933476840445</v>
      </c>
      <c r="AC18" s="25">
        <f>1.45*Input!$B$10-0.315-0.0225*Input!$B$9</f>
        <v>0.5757999999999999</v>
      </c>
      <c r="AD18" s="25">
        <f>IF(Input!$B$7/Input!$B$17&lt;5,(Input!$B$7*Calculates!I18/(Input!$B$6*Input!$B$58*Input!$B$17)),(Calculates!I18*(7*Input!$B$7/Input!$B$17-25)/(Input!$B$6*Input!$B$58(Input!$B$7/Input!$B$17-3))))</f>
        <v>12.661793621013134</v>
      </c>
      <c r="AE18" s="25">
        <f t="shared" si="4"/>
        <v>12.661793621013134</v>
      </c>
      <c r="AF18" s="25">
        <f>IF(Input!$B$17/Input!$B$58&lt;2,Input!$B$17/Input!$B$58,0.0833333*((Input!$B$17/Input!$B$58)^3)+1.33333)</f>
        <v>1.098901098901099</v>
      </c>
      <c r="AG18" s="25">
        <f t="shared" si="5"/>
        <v>0.002021637017403346</v>
      </c>
      <c r="AH18" s="25">
        <f>IF(Input!$B$6/Input!$B$7&gt;5.2,Input!$B$7/Input!$B$6,0.25-0.003328402/((Input!$B$7/Input!$B$6)-0.134615385))</f>
        <v>0.15609756097560976</v>
      </c>
      <c r="AI18" s="25">
        <f>0.5*D18*I18*(A18^2)*Input!$B$69</f>
        <v>519007.1342278124</v>
      </c>
      <c r="AJ18" s="25">
        <f t="shared" si="6"/>
        <v>0</v>
      </c>
      <c r="AK18" s="21">
        <f t="shared" si="7"/>
        <v>0</v>
      </c>
      <c r="AL18" s="25">
        <f>0.5*AK18*AJ18*D18*(A18^2)*Input!$B$69+BH18</f>
        <v>0</v>
      </c>
      <c r="AM18" s="27">
        <f>M18*O18*P18*J18*9.81*EXP(S18*(B18^-0.9)+V18*COS(Q18*(B18^-2)))*Input!$B$69</f>
        <v>84943.31055008047</v>
      </c>
      <c r="AN18" s="25">
        <f>IF(Input!$B$14=0,0,0.11*EXP(-3*W18^-2)*(X18^3)*9.81*(Input!$B$14^1.5)*Input!$B$69/(1+(Calculates!X18^2)))</f>
        <v>35.23256320618116</v>
      </c>
      <c r="AO18" s="25">
        <f>0.5*Z18*(A18^2)*Input!$B$69*Input!$B$19</f>
        <v>27314.905336047446</v>
      </c>
      <c r="AP18" s="25">
        <f>0.5*I18*AB18*(A18^2)*Input!$B$69</f>
        <v>127402.17490991685</v>
      </c>
      <c r="AQ18" s="27">
        <f t="shared" si="8"/>
        <v>842964.1972744454</v>
      </c>
      <c r="AR18" s="25">
        <f>IF(Input!$B$60=0.2,(0.001979*Input!$B$6/(Input!$B$7-Input!$B$7*Calculates!AC18)+1.0585*Calculates!AH18-0.00524-0.1418*(Input!$B$58^2)/(Input!$B$7*Input!$B$8)+0.0015*Input!$B$15),(0.325*Input!$B$11-0.1885*Input!$B$58/((Input!$B$7*Input!$B$8)^2)))</f>
        <v>0.16818085920204173</v>
      </c>
      <c r="AS18" s="25">
        <f>IF(Input!$B$60=0.2,(Calculates!AE18*Calculates!AG18*(Input!$B$6/Input!$B$17)*(0.0661875+1.21756*Calculates!AF18*Calculates!AG18/(1-Calculates!AC18))+0.24558*(Input!$B$7/(Input!$B$6*(1-Calculates!AC18)))^0.5-0.09726/(0.95-Input!$B$10)+0.11434/(0.95-Input!$B$11)+0.75*Input!$B$15*Calculates!AG18+0.002*Input!$B$15),(0.3095*Input!$B$11+10*Input!$B$11*Calculates!AG18-0.23*Input!$B$58/((Input!$B$7*Input!$B$8)^0.5)))</f>
        <v>0.25968573129214206</v>
      </c>
      <c r="AT18" s="25">
        <f>IF(Input!$B$60=0.2,(0.9922-0.05908*Calculates!AV18+0.07424*(Input!$B$10-0.0225*Input!$B$9)),(0.9737+0.111*(Input!$B$10-0.0225*Input!$B$9)-0.06325*Input!$B$57/Input!$B$58))</f>
        <v>1.013838565317578</v>
      </c>
      <c r="AU18" s="25">
        <f t="shared" si="9"/>
        <v>1013398.4131043147</v>
      </c>
      <c r="AV18" s="25">
        <f>Input!$B$60+(1.3+0.3*Input!$B$56)*AU18/((Input!$B$58^2)*(99047+Input!$B$69*9.81*(Input!$B$8-Input!$B$59)))</f>
        <v>0.4234523135142517</v>
      </c>
      <c r="AW18" s="25">
        <f>2.073*AV18*Input!$B$58/Input!$B$56</f>
        <v>1.5976262955653797</v>
      </c>
      <c r="AX18" s="25">
        <f>(0.0185-0.00125*Input!$B$56)*Input!$B$58/Calculates!AW18</f>
        <v>0.06977539134741795</v>
      </c>
      <c r="AY18" s="25">
        <f t="shared" si="10"/>
        <v>0.0001227567137135633</v>
      </c>
      <c r="AZ18" s="27">
        <f t="shared" si="11"/>
        <v>8239506.713865753</v>
      </c>
      <c r="BA18" s="25">
        <f>AZ18/(AT18*0.99*Input!$B$61*(1-Calculates!AR18)/(1-Calculates!AS18))</f>
        <v>11596952.30435395</v>
      </c>
      <c r="BH18" s="25">
        <f>0.007*3.14*(A18^2)*(($BF$14^2)*$BD$14+($BF$15^2)*$BD$15)*Input!$B$69</f>
        <v>0</v>
      </c>
    </row>
    <row r="19" spans="1:60" ht="12.75">
      <c r="A19" s="21">
        <f>A18+(Input!$B$65-Input!$B$64)*0.5144444444/20</f>
        <v>10.391777776480001</v>
      </c>
      <c r="B19" s="27">
        <f>A19/(9.81*Input!$B$6)^0.5</f>
        <v>0.2317279484660144</v>
      </c>
      <c r="C19" s="27">
        <f>A19*Input!$B$6/Input!$B$68</f>
        <v>1792741264.1407056</v>
      </c>
      <c r="D19" s="25">
        <f t="shared" si="0"/>
        <v>0.0014254891737095527</v>
      </c>
      <c r="E19" s="29">
        <f>(1-Input!$B$10+0.06*Input!$B$10*Input!$B$9/(4*Input!$B$10-1))*Input!$B$6</f>
        <v>74.61021171171173</v>
      </c>
      <c r="F19" s="30">
        <f>IF((Input!$B$8/Input!$B$6)&gt;0.05,((Input!$B$8/Input!$B$6)^0.2228446),(IF((Input!$B$8/Input!$B$6)&gt;0.02,(0.479948+48.2*(Input!$B$8/Input!$B$6-0.02)^2.078),0.479948)))</f>
        <v>0.5102208281235032</v>
      </c>
      <c r="G19" s="25">
        <f>1+0.003*Input!$B$15</f>
        <v>1.03</v>
      </c>
      <c r="H19" s="25">
        <f>G19*(0.93+F19*((Input!$B$7/E19)^0.92497)*((0.95-Input!$B$10)^(-0.521448))*((1-Input!$B$10+0.0225*Input!$B$9)^0.6906))</f>
        <v>1.1623512166412657</v>
      </c>
      <c r="I19" s="29">
        <f>IF(Input!$B$20&gt;0,Input!$B$20,Input!$B$6*(2*Input!$B$8+Input!$B$7)*(Input!$B$12^0.5)*(0.453+0.4425*Input!$B$11-0.2862*Input!$B$12-0.003467*(Input!$B$7/Input!$B$8)+0.3696*Input!$B$13)+2.38*Input!$B$14/Input!$B$11)</f>
        <v>7381.43</v>
      </c>
      <c r="J19" s="29">
        <f>Input!$B$6*Input!$B$7*Input!$B$8*Input!$B$11</f>
        <v>37523.2</v>
      </c>
      <c r="K19" s="31">
        <f>1+89*EXP(-1*((Input!$B$6/Input!$B$7)^0.80856)*((1-Input!$B$13)^0.30484)*((1-Input!$B$10-0.0225*Input!$B$9)^0.6367)*((Calculates!$E$3/Input!$B$7)^0.34574)*((100*Calculates!$J$3/(Input!$B$6^3))^0.16302))</f>
        <v>11.822355456040485</v>
      </c>
      <c r="L19" s="25">
        <f>IF(Input!$B$7/Input!$B$6&lt;0.11,(0.229577*(Input!$B$7/Input!$B$6)^0.33333),(IF(Input!$B$7/Input!$B$6&lt;0.25,(Input!$B$7/Input!$B$6),(0.5-0.0625*Input!$B$7/Input!$B$6))))</f>
        <v>0.15609756097560976</v>
      </c>
      <c r="M19" s="25">
        <f>2223105*(L19^3.78613)*((Input!$B$8/Input!$B$7)^1.07961)*((90-Calculates!K19)^(-1.37565))</f>
        <v>1.3914538154228873</v>
      </c>
      <c r="N19" s="25">
        <f>0.56*(Input!$B$14^1.5)/(Input!$B$7*Input!$B$8*(0.31*(Input!$B$14^0.5)+Input!$B$16-Input!$B$18))</f>
        <v>0.021191048493160156</v>
      </c>
      <c r="O19" s="25">
        <f t="shared" si="1"/>
        <v>0.7594733474184135</v>
      </c>
      <c r="P19" s="25">
        <f>1-0.8*Input!$B$19/(Input!$B$7*Input!$B$8*Input!$B$12)</f>
        <v>0.9591836734693877</v>
      </c>
      <c r="Q19" s="25">
        <f>IF(Input!$B$6/Input!$B$7&lt;12,(1.446*Input!$B$10-0.03*Input!$B$6/Input!$B$7),(1.446*Input!$B$10-0.36))</f>
        <v>0.6508305</v>
      </c>
      <c r="R19" s="25">
        <f>IF(Input!$B$10&lt;0.8,(8.07981*(Input!$B$10)-13.8673*(Input!$B$10^2)+6.984388*(Input!$B$10^3)),(1.73014-0.7067*Input!$B$10))</f>
        <v>1.3811799089593564</v>
      </c>
      <c r="S19" s="25">
        <f>0.0140407*(Input!$B$6/Input!$B$8)-1.75254*((Calculates!J19^(1/3))/Input!$B$6)-4.79323*(Input!$B$7/Input!$B$6)-Calculates!R19</f>
        <v>-2.12776436725836</v>
      </c>
      <c r="T19" s="25">
        <f>(Input!$B$6^3)/Calculates!J19</f>
        <v>229.59462412587413</v>
      </c>
      <c r="U19" s="25">
        <f t="shared" si="2"/>
        <v>-1.69385</v>
      </c>
      <c r="V19" s="25">
        <f>U19*(Input!$B$10^2)*EXP(-0.1*(Calculates!B19^(-2)))</f>
        <v>-0.0894205848336686</v>
      </c>
      <c r="W19" s="25">
        <f>0.56*(Input!$B$14^0.5)/(Input!$B$16-1.5*Input!$B$18)</f>
        <v>0.6260990336999412</v>
      </c>
      <c r="X19" s="25">
        <f>A19/((9.81*(Input!$B$16-Input!$B$18-0.25*(Input!$B$14^0.5))+0.15*Calculates!A19^2)^0.5)</f>
        <v>1.2980553544203717</v>
      </c>
      <c r="Y19" s="25">
        <f>IF(Input!$B$19=0,0,A19/(2*9.81*Input!$B$19/(Input!$B$7+Input!$B$7*Input!$B$13))^0.5)</f>
        <v>4.38908884091802</v>
      </c>
      <c r="Z19" s="25">
        <f t="shared" si="3"/>
        <v>0.0244364463632792</v>
      </c>
      <c r="AA19" s="25">
        <f>IF(Input!$B$16/Input!$B$6&gt;0.04,0.04,Input!$B$16/Input!$B$6)</f>
        <v>0.04</v>
      </c>
      <c r="AB19" s="25">
        <f>0.006*((Input!$B$6+100)^(-0.16))-0.00205+0.003*((Input!$B$6/7.5)^0.5)*(Input!$B$11^4)*Calculates!O19*(0.04-Calculates!AA19)</f>
        <v>0.00035249933476840445</v>
      </c>
      <c r="AC19" s="25">
        <f>1.45*Input!$B$10-0.315-0.0225*Input!$B$9</f>
        <v>0.5757999999999999</v>
      </c>
      <c r="AD19" s="25">
        <f>IF(Input!$B$7/Input!$B$17&lt;5,(Input!$B$7*Calculates!I19/(Input!$B$6*Input!$B$58*Input!$B$17)),(Calculates!I19*(7*Input!$B$7/Input!$B$17-25)/(Input!$B$6*Input!$B$58(Input!$B$7/Input!$B$17-3))))</f>
        <v>12.661793621013134</v>
      </c>
      <c r="AE19" s="25">
        <f t="shared" si="4"/>
        <v>12.661793621013134</v>
      </c>
      <c r="AF19" s="25">
        <f>IF(Input!$B$17/Input!$B$58&lt;2,Input!$B$17/Input!$B$58,0.0833333*((Input!$B$17/Input!$B$58)^3)+1.33333)</f>
        <v>1.098901098901099</v>
      </c>
      <c r="AG19" s="25">
        <f t="shared" si="5"/>
        <v>0.0020094184101386555</v>
      </c>
      <c r="AH19" s="25">
        <f>IF(Input!$B$6/Input!$B$7&gt;5.2,Input!$B$7/Input!$B$6,0.25-0.003328402/((Input!$B$7/Input!$B$6)-0.134615385))</f>
        <v>0.15609756097560976</v>
      </c>
      <c r="AI19" s="25">
        <f>0.5*D19*I19*(A19^2)*Input!$B$69</f>
        <v>582341.8482982185</v>
      </c>
      <c r="AJ19" s="25">
        <f t="shared" si="6"/>
        <v>0</v>
      </c>
      <c r="AK19" s="21">
        <f t="shared" si="7"/>
        <v>0</v>
      </c>
      <c r="AL19" s="25">
        <f>0.5*AK19*AJ19*D19*(A19^2)*Input!$B$69+BH19</f>
        <v>0</v>
      </c>
      <c r="AM19" s="27">
        <f>M19*O19*P19*J19*9.81*EXP(S19*(B19^-0.9)+V19*COS(Q19*(B19^-2)))*Input!$B$69</f>
        <v>126543.63576304603</v>
      </c>
      <c r="AN19" s="25">
        <f>IF(Input!$B$14=0,0,0.11*EXP(-3*W19^-2)*(X19^3)*9.81*(Input!$B$14^1.5)*Input!$B$69/(1+(Calculates!X19^2)))</f>
        <v>38.2465353605481</v>
      </c>
      <c r="AO19" s="25">
        <f>0.5*Z19*(A19^2)*Input!$B$69*Input!$B$19</f>
        <v>21638.7218201903</v>
      </c>
      <c r="AP19" s="25">
        <f>0.5*I19*AB19*(A19^2)*Input!$B$69</f>
        <v>144003.27825621946</v>
      </c>
      <c r="AQ19" s="27">
        <f t="shared" si="8"/>
        <v>969109.638245374</v>
      </c>
      <c r="AR19" s="25">
        <f>IF(Input!$B$60=0.2,(0.001979*Input!$B$6/(Input!$B$7-Input!$B$7*Calculates!AC19)+1.0585*Calculates!AH19-0.00524-0.1418*(Input!$B$58^2)/(Input!$B$7*Input!$B$8)+0.0015*Input!$B$15),(0.325*Input!$B$11-0.1885*Input!$B$58/((Input!$B$7*Input!$B$8)^2)))</f>
        <v>0.16818085920204173</v>
      </c>
      <c r="AS19" s="25">
        <f>IF(Input!$B$60=0.2,(Calculates!AE19*Calculates!AG19*(Input!$B$6/Input!$B$17)*(0.0661875+1.21756*Calculates!AF19*Calculates!AG19/(1-Calculates!AC19))+0.24558*(Input!$B$7/(Input!$B$6*(1-Calculates!AC19)))^0.5-0.09726/(0.95-Input!$B$10)+0.11434/(0.95-Input!$B$11)+0.75*Input!$B$15*Calculates!AG19+0.002*Input!$B$15),(0.3095*Input!$B$11+10*Input!$B$11*Calculates!AG19-0.23*Input!$B$58/((Input!$B$7*Input!$B$8)^0.5)))</f>
        <v>0.2593438507447987</v>
      </c>
      <c r="AT19" s="25">
        <f>IF(Input!$B$60=0.2,(0.9922-0.05908*Calculates!AV19+0.07424*(Input!$B$10-0.0225*Input!$B$9)),(0.9737+0.111*(Input!$B$10-0.0225*Input!$B$9)-0.06325*Input!$B$57/Input!$B$58))</f>
        <v>1.011863016472842</v>
      </c>
      <c r="AU19" s="25">
        <f t="shared" si="9"/>
        <v>1165048.4951761435</v>
      </c>
      <c r="AV19" s="25">
        <f>Input!$B$60+(1.3+0.3*Input!$B$56)*AU19/((Input!$B$58^2)*(99047+Input!$B$69*9.81*(Input!$B$8-Input!$B$59)))</f>
        <v>0.4568908518476329</v>
      </c>
      <c r="AW19" s="25">
        <f>2.073*AV19*Input!$B$58/Input!$B$56</f>
        <v>1.7237852193018601</v>
      </c>
      <c r="AX19" s="25">
        <f>(0.0185-0.00125*Input!$B$56)*Input!$B$58/Calculates!AW19</f>
        <v>0.064668729463377</v>
      </c>
      <c r="AY19" s="25">
        <f t="shared" si="10"/>
        <v>0.00023288081981041517</v>
      </c>
      <c r="AZ19" s="27">
        <f t="shared" si="11"/>
        <v>10070772.001690852</v>
      </c>
      <c r="BA19" s="25">
        <f>AZ19/(AT19*0.99*Input!$B$61*(1-Calculates!AR19)/(1-Calculates!AS19))</f>
        <v>14208656.66904683</v>
      </c>
      <c r="BH19" s="25">
        <f>0.007*3.14*(A19^2)*(($BF$14^2)*$BD$14+($BF$15^2)*$BD$15)*Input!$B$69</f>
        <v>0</v>
      </c>
    </row>
    <row r="20" spans="1:60" ht="12.75">
      <c r="A20" s="21">
        <f>A19+(Input!$B$65-Input!$B$64)*0.5144444444/20</f>
        <v>11.009111109760001</v>
      </c>
      <c r="B20" s="27">
        <f>A20/(9.81*Input!$B$6)^0.5</f>
        <v>0.2454939652070996</v>
      </c>
      <c r="C20" s="27">
        <f>A20*Input!$B$6/Input!$B$68</f>
        <v>1899240745.1828663</v>
      </c>
      <c r="D20" s="25">
        <f t="shared" si="0"/>
        <v>0.0014156892739537908</v>
      </c>
      <c r="E20" s="29">
        <f>(1-Input!$B$10+0.06*Input!$B$10*Input!$B$9/(4*Input!$B$10-1))*Input!$B$6</f>
        <v>74.61021171171173</v>
      </c>
      <c r="F20" s="30">
        <f>IF((Input!$B$8/Input!$B$6)&gt;0.05,((Input!$B$8/Input!$B$6)^0.2228446),(IF((Input!$B$8/Input!$B$6)&gt;0.02,(0.479948+48.2*(Input!$B$8/Input!$B$6-0.02)^2.078),0.479948)))</f>
        <v>0.5102208281235032</v>
      </c>
      <c r="G20" s="25">
        <f>1+0.003*Input!$B$15</f>
        <v>1.03</v>
      </c>
      <c r="H20" s="25">
        <f>G20*(0.93+F20*((Input!$B$7/E20)^0.92497)*((0.95-Input!$B$10)^(-0.521448))*((1-Input!$B$10+0.0225*Input!$B$9)^0.6906))</f>
        <v>1.1623512166412657</v>
      </c>
      <c r="I20" s="29">
        <f>IF(Input!$B$20&gt;0,Input!$B$20,Input!$B$6*(2*Input!$B$8+Input!$B$7)*(Input!$B$12^0.5)*(0.453+0.4425*Input!$B$11-0.2862*Input!$B$12-0.003467*(Input!$B$7/Input!$B$8)+0.3696*Input!$B$13)+2.38*Input!$B$14/Input!$B$11)</f>
        <v>7381.43</v>
      </c>
      <c r="J20" s="29">
        <f>Input!$B$6*Input!$B$7*Input!$B$8*Input!$B$11</f>
        <v>37523.2</v>
      </c>
      <c r="K20" s="31">
        <f>1+89*EXP(-1*((Input!$B$6/Input!$B$7)^0.80856)*((1-Input!$B$13)^0.30484)*((1-Input!$B$10-0.0225*Input!$B$9)^0.6367)*((Calculates!$E$3/Input!$B$7)^0.34574)*((100*Calculates!$J$3/(Input!$B$6^3))^0.16302))</f>
        <v>11.822355456040485</v>
      </c>
      <c r="L20" s="25">
        <f>IF(Input!$B$7/Input!$B$6&lt;0.11,(0.229577*(Input!$B$7/Input!$B$6)^0.33333),(IF(Input!$B$7/Input!$B$6&lt;0.25,(Input!$B$7/Input!$B$6),(0.5-0.0625*Input!$B$7/Input!$B$6))))</f>
        <v>0.15609756097560976</v>
      </c>
      <c r="M20" s="25">
        <f>2223105*(L20^3.78613)*((Input!$B$8/Input!$B$7)^1.07961)*((90-Calculates!K20)^(-1.37565))</f>
        <v>1.3914538154228873</v>
      </c>
      <c r="N20" s="25">
        <f>0.56*(Input!$B$14^1.5)/(Input!$B$7*Input!$B$8*(0.31*(Input!$B$14^0.5)+Input!$B$16-Input!$B$18))</f>
        <v>0.021191048493160156</v>
      </c>
      <c r="O20" s="25">
        <f t="shared" si="1"/>
        <v>0.7594733474184135</v>
      </c>
      <c r="P20" s="25">
        <f>1-0.8*Input!$B$19/(Input!$B$7*Input!$B$8*Input!$B$12)</f>
        <v>0.9591836734693877</v>
      </c>
      <c r="Q20" s="25">
        <f>IF(Input!$B$6/Input!$B$7&lt;12,(1.446*Input!$B$10-0.03*Input!$B$6/Input!$B$7),(1.446*Input!$B$10-0.36))</f>
        <v>0.6508305</v>
      </c>
      <c r="R20" s="25">
        <f>IF(Input!$B$10&lt;0.8,(8.07981*(Input!$B$10)-13.8673*(Input!$B$10^2)+6.984388*(Input!$B$10^3)),(1.73014-0.7067*Input!$B$10))</f>
        <v>1.3811799089593564</v>
      </c>
      <c r="S20" s="25">
        <f>0.0140407*(Input!$B$6/Input!$B$8)-1.75254*((Calculates!J20^(1/3))/Input!$B$6)-4.79323*(Input!$B$7/Input!$B$6)-Calculates!R20</f>
        <v>-2.12776436725836</v>
      </c>
      <c r="T20" s="25">
        <f>(Input!$B$6^3)/Calculates!J20</f>
        <v>229.59462412587413</v>
      </c>
      <c r="U20" s="25">
        <f t="shared" si="2"/>
        <v>-1.69385</v>
      </c>
      <c r="V20" s="25">
        <f>U20*(Input!$B$10^2)*EXP(-0.1*(Calculates!B20^(-2)))</f>
        <v>-0.10954639746733999</v>
      </c>
      <c r="W20" s="25">
        <f>0.56*(Input!$B$14^0.5)/(Input!$B$16-1.5*Input!$B$18)</f>
        <v>0.6260990336999412</v>
      </c>
      <c r="X20" s="25">
        <f>A20/((9.81*(Input!$B$16-Input!$B$18-0.25*(Input!$B$14^0.5))+0.15*Calculates!A20^2)^0.5)</f>
        <v>1.354387646249401</v>
      </c>
      <c r="Y20" s="25">
        <f>IF(Input!$B$19=0,0,A20/(2*9.81*Input!$B$19/(Input!$B$7+Input!$B$7*Input!$B$13))^0.5)</f>
        <v>4.649826791873681</v>
      </c>
      <c r="Z20" s="25">
        <f t="shared" si="3"/>
        <v>0.014006928325052749</v>
      </c>
      <c r="AA20" s="25">
        <f>IF(Input!$B$16/Input!$B$6&gt;0.04,0.04,Input!$B$16/Input!$B$6)</f>
        <v>0.04</v>
      </c>
      <c r="AB20" s="25">
        <f>0.006*((Input!$B$6+100)^(-0.16))-0.00205+0.003*((Input!$B$6/7.5)^0.5)*(Input!$B$11^4)*Calculates!O20*(0.04-Calculates!AA20)</f>
        <v>0.00035249933476840445</v>
      </c>
      <c r="AC20" s="25">
        <f>1.45*Input!$B$10-0.315-0.0225*Input!$B$9</f>
        <v>0.5757999999999999</v>
      </c>
      <c r="AD20" s="25">
        <f>IF(Input!$B$7/Input!$B$17&lt;5,(Input!$B$7*Calculates!I20/(Input!$B$6*Input!$B$58*Input!$B$17)),(Calculates!I20*(7*Input!$B$7/Input!$B$17-25)/(Input!$B$6*Input!$B$58(Input!$B$7/Input!$B$17-3))))</f>
        <v>12.661793621013134</v>
      </c>
      <c r="AE20" s="25">
        <f t="shared" si="4"/>
        <v>12.661793621013134</v>
      </c>
      <c r="AF20" s="25">
        <f>IF(Input!$B$17/Input!$B$58&lt;2,Input!$B$17/Input!$B$58,0.0833333*((Input!$B$17/Input!$B$58)^3)+1.33333)</f>
        <v>1.098901098901099</v>
      </c>
      <c r="AG20" s="25">
        <f t="shared" si="5"/>
        <v>0.0019980274847345835</v>
      </c>
      <c r="AH20" s="25">
        <f>IF(Input!$B$6/Input!$B$7&gt;5.2,Input!$B$7/Input!$B$6,0.25-0.003328402/((Input!$B$7/Input!$B$6)-0.134615385))</f>
        <v>0.15609756097560976</v>
      </c>
      <c r="AI20" s="25">
        <f>0.5*D20*I20*(A20^2)*Input!$B$69</f>
        <v>649092.852148665</v>
      </c>
      <c r="AJ20" s="25">
        <f t="shared" si="6"/>
        <v>0</v>
      </c>
      <c r="AK20" s="21">
        <f t="shared" si="7"/>
        <v>0</v>
      </c>
      <c r="AL20" s="25">
        <f>0.5*AK20*AJ20*D20*(A20^2)*Input!$B$69+BH20</f>
        <v>0</v>
      </c>
      <c r="AM20" s="27">
        <f>M20*O20*P20*J20*9.81*EXP(S20*(B20^-0.9)+V20*COS(Q20*(B20^-2)))*Input!$B$69</f>
        <v>209380.2846253107</v>
      </c>
      <c r="AN20" s="25">
        <f>IF(Input!$B$14=0,0,0.11*EXP(-3*W20^-2)*(X20^3)*9.81*(Input!$B$14^1.5)*Input!$B$69/(1+(Calculates!X20^2)))</f>
        <v>41.15487903481364</v>
      </c>
      <c r="AO20" s="25">
        <f>0.5*Z20*(A20^2)*Input!$B$69*Input!$B$19</f>
        <v>13920.706225159065</v>
      </c>
      <c r="AP20" s="25">
        <f>0.5*I20*AB20*(A20^2)*Input!$B$69</f>
        <v>161620.7756849891</v>
      </c>
      <c r="AQ20" s="27">
        <f t="shared" si="8"/>
        <v>1139436.7878226438</v>
      </c>
      <c r="AR20" s="25">
        <f>IF(Input!$B$60=0.2,(0.001979*Input!$B$6/(Input!$B$7-Input!$B$7*Calculates!AC20)+1.0585*Calculates!AH20-0.00524-0.1418*(Input!$B$58^2)/(Input!$B$7*Input!$B$8)+0.0015*Input!$B$15),(0.325*Input!$B$11-0.1885*Input!$B$58/((Input!$B$7*Input!$B$8)^2)))</f>
        <v>0.16818085920204173</v>
      </c>
      <c r="AS20" s="25">
        <f>IF(Input!$B$60=0.2,(Calculates!AE20*Calculates!AG20*(Input!$B$6/Input!$B$17)*(0.0661875+1.21756*Calculates!AF20*Calculates!AG20/(1-Calculates!AC20))+0.24558*(Input!$B$7/(Input!$B$6*(1-Calculates!AC20)))^0.5-0.09726/(0.95-Input!$B$10)+0.11434/(0.95-Input!$B$11)+0.75*Input!$B$15*Calculates!AG20+0.002*Input!$B$15),(0.3095*Input!$B$11+10*Input!$B$11*Calculates!AG20-0.23*Input!$B$58/((Input!$B$7*Input!$B$8)^0.5)))</f>
        <v>0.2590253491791291</v>
      </c>
      <c r="AT20" s="25">
        <f>IF(Input!$B$60=0.2,(0.9922-0.05908*Calculates!AV20+0.07424*(Input!$B$10-0.0225*Input!$B$9)),(0.9737+0.111*(Input!$B$10-0.0225*Input!$B$9)-0.06325*Input!$B$57/Input!$B$58))</f>
        <v>1.0091955431104702</v>
      </c>
      <c r="AU20" s="25">
        <f t="shared" si="9"/>
        <v>1369813.1383819685</v>
      </c>
      <c r="AV20" s="25">
        <f>Input!$B$60+(1.3+0.3*Input!$B$56)*AU20/((Input!$B$58^2)*(99047+Input!$B$69*9.81*(Input!$B$8-Input!$B$59)))</f>
        <v>0.5020410441694281</v>
      </c>
      <c r="AW20" s="25">
        <f>2.073*AV20*Input!$B$58/Input!$B$56</f>
        <v>1.894130573905068</v>
      </c>
      <c r="AX20" s="25">
        <f>(0.0185-0.00125*Input!$B$56)*Input!$B$58/Calculates!AW20</f>
        <v>0.05885285921454484</v>
      </c>
      <c r="AY20" s="25">
        <f t="shared" si="10"/>
        <v>0.00036402424514249</v>
      </c>
      <c r="AZ20" s="27">
        <f t="shared" si="11"/>
        <v>12544186.199687516</v>
      </c>
      <c r="BA20" s="25">
        <f>AZ20/(AT20*0.99*Input!$B$61*(1-Calculates!AR20)/(1-Calculates!AS20))</f>
        <v>17752759.31326243</v>
      </c>
      <c r="BH20" s="25">
        <f>0.007*3.14*(A20^2)*(($BF$14^2)*$BD$14+($BF$15^2)*$BD$15)*Input!$B$69</f>
        <v>0</v>
      </c>
    </row>
    <row r="21" spans="1:60" ht="12.75">
      <c r="A21" s="21">
        <f>A20+(Input!$B$65-Input!$B$64)*0.5144444444/20</f>
        <v>11.62644444304</v>
      </c>
      <c r="B21" s="27">
        <f>A21/(9.81*Input!$B$6)^0.5</f>
        <v>0.2592599819481848</v>
      </c>
      <c r="C21" s="27">
        <f>A21*Input!$B$6/Input!$B$68</f>
        <v>2005740226.2250278</v>
      </c>
      <c r="D21" s="25">
        <f t="shared" si="0"/>
        <v>0.0014065168275973112</v>
      </c>
      <c r="E21" s="29">
        <f>(1-Input!$B$10+0.06*Input!$B$10*Input!$B$9/(4*Input!$B$10-1))*Input!$B$6</f>
        <v>74.61021171171173</v>
      </c>
      <c r="F21" s="30">
        <f>IF((Input!$B$8/Input!$B$6)&gt;0.05,((Input!$B$8/Input!$B$6)^0.2228446),(IF((Input!$B$8/Input!$B$6)&gt;0.02,(0.479948+48.2*(Input!$B$8/Input!$B$6-0.02)^2.078),0.479948)))</f>
        <v>0.5102208281235032</v>
      </c>
      <c r="G21" s="25">
        <f>1+0.003*Input!$B$15</f>
        <v>1.03</v>
      </c>
      <c r="H21" s="25">
        <f>G21*(0.93+F21*((Input!$B$7/E21)^0.92497)*((0.95-Input!$B$10)^(-0.521448))*((1-Input!$B$10+0.0225*Input!$B$9)^0.6906))</f>
        <v>1.1623512166412657</v>
      </c>
      <c r="I21" s="29">
        <f>IF(Input!$B$20&gt;0,Input!$B$20,Input!$B$6*(2*Input!$B$8+Input!$B$7)*(Input!$B$12^0.5)*(0.453+0.4425*Input!$B$11-0.2862*Input!$B$12-0.003467*(Input!$B$7/Input!$B$8)+0.3696*Input!$B$13)+2.38*Input!$B$14/Input!$B$11)</f>
        <v>7381.43</v>
      </c>
      <c r="J21" s="29">
        <f>Input!$B$6*Input!$B$7*Input!$B$8*Input!$B$11</f>
        <v>37523.2</v>
      </c>
      <c r="K21" s="31">
        <f>1+89*EXP(-1*((Input!$B$6/Input!$B$7)^0.80856)*((1-Input!$B$13)^0.30484)*((1-Input!$B$10-0.0225*Input!$B$9)^0.6367)*((Calculates!$E$3/Input!$B$7)^0.34574)*((100*Calculates!$J$3/(Input!$B$6^3))^0.16302))</f>
        <v>11.822355456040485</v>
      </c>
      <c r="L21" s="25">
        <f>IF(Input!$B$7/Input!$B$6&lt;0.11,(0.229577*(Input!$B$7/Input!$B$6)^0.33333),(IF(Input!$B$7/Input!$B$6&lt;0.25,(Input!$B$7/Input!$B$6),(0.5-0.0625*Input!$B$7/Input!$B$6))))</f>
        <v>0.15609756097560976</v>
      </c>
      <c r="M21" s="25">
        <f>2223105*(L21^3.78613)*((Input!$B$8/Input!$B$7)^1.07961)*((90-Calculates!K21)^(-1.37565))</f>
        <v>1.3914538154228873</v>
      </c>
      <c r="N21" s="25">
        <f>0.56*(Input!$B$14^1.5)/(Input!$B$7*Input!$B$8*(0.31*(Input!$B$14^0.5)+Input!$B$16-Input!$B$18))</f>
        <v>0.021191048493160156</v>
      </c>
      <c r="O21" s="25">
        <f t="shared" si="1"/>
        <v>0.7594733474184135</v>
      </c>
      <c r="P21" s="25">
        <f>1-0.8*Input!$B$19/(Input!$B$7*Input!$B$8*Input!$B$12)</f>
        <v>0.9591836734693877</v>
      </c>
      <c r="Q21" s="25">
        <f>IF(Input!$B$6/Input!$B$7&lt;12,(1.446*Input!$B$10-0.03*Input!$B$6/Input!$B$7),(1.446*Input!$B$10-0.36))</f>
        <v>0.6508305</v>
      </c>
      <c r="R21" s="25">
        <f>IF(Input!$B$10&lt;0.8,(8.07981*(Input!$B$10)-13.8673*(Input!$B$10^2)+6.984388*(Input!$B$10^3)),(1.73014-0.7067*Input!$B$10))</f>
        <v>1.3811799089593564</v>
      </c>
      <c r="S21" s="25">
        <f>0.0140407*(Input!$B$6/Input!$B$8)-1.75254*((Calculates!J21^(1/3))/Input!$B$6)-4.79323*(Input!$B$7/Input!$B$6)-Calculates!R21</f>
        <v>-2.12776436725836</v>
      </c>
      <c r="T21" s="25">
        <f>(Input!$B$6^3)/Calculates!J21</f>
        <v>229.59462412587413</v>
      </c>
      <c r="U21" s="25">
        <f t="shared" si="2"/>
        <v>-1.69385</v>
      </c>
      <c r="V21" s="25">
        <f>U21*(Input!$B$10^2)*EXP(-0.1*(Calculates!B21^(-2)))</f>
        <v>-0.13004445199283932</v>
      </c>
      <c r="W21" s="25">
        <f>0.56*(Input!$B$14^0.5)/(Input!$B$16-1.5*Input!$B$18)</f>
        <v>0.6260990336999412</v>
      </c>
      <c r="X21" s="25">
        <f>A21/((9.81*(Input!$B$16-Input!$B$18-0.25*(Input!$B$14^0.5))+0.15*Calculates!A21^2)^0.5)</f>
        <v>1.408172794716778</v>
      </c>
      <c r="Y21" s="25">
        <f>IF(Input!$B$19=0,0,A21/(2*9.81*Input!$B$19/(Input!$B$7+Input!$B$7*Input!$B$13))^0.5)</f>
        <v>4.910564742829342</v>
      </c>
      <c r="Z21" s="25">
        <f t="shared" si="3"/>
        <v>0.0035774102868263214</v>
      </c>
      <c r="AA21" s="25">
        <f>IF(Input!$B$16/Input!$B$6&gt;0.04,0.04,Input!$B$16/Input!$B$6)</f>
        <v>0.04</v>
      </c>
      <c r="AB21" s="25">
        <f>0.006*((Input!$B$6+100)^(-0.16))-0.00205+0.003*((Input!$B$6/7.5)^0.5)*(Input!$B$11^4)*Calculates!O21*(0.04-Calculates!AA21)</f>
        <v>0.00035249933476840445</v>
      </c>
      <c r="AC21" s="25">
        <f>1.45*Input!$B$10-0.315-0.0225*Input!$B$9</f>
        <v>0.5757999999999999</v>
      </c>
      <c r="AD21" s="25">
        <f>IF(Input!$B$7/Input!$B$17&lt;5,(Input!$B$7*Calculates!I21/(Input!$B$6*Input!$B$58*Input!$B$17)),(Calculates!I21*(7*Input!$B$7/Input!$B$17-25)/(Input!$B$6*Input!$B$58(Input!$B$7/Input!$B$17-3))))</f>
        <v>12.661793621013134</v>
      </c>
      <c r="AE21" s="25">
        <f t="shared" si="4"/>
        <v>12.661793621013134</v>
      </c>
      <c r="AF21" s="25">
        <f>IF(Input!$B$17/Input!$B$58&lt;2,Input!$B$17/Input!$B$58,0.0833333*((Input!$B$17/Input!$B$58)^3)+1.33333)</f>
        <v>1.098901098901099</v>
      </c>
      <c r="AG21" s="25">
        <f t="shared" si="5"/>
        <v>0.0019873658805525524</v>
      </c>
      <c r="AH21" s="25">
        <f>IF(Input!$B$6/Input!$B$7&gt;5.2,Input!$B$7/Input!$B$6,0.25-0.003328402/((Input!$B$7/Input!$B$6)-0.134615385))</f>
        <v>0.15609756097560976</v>
      </c>
      <c r="AI21" s="25">
        <f>0.5*D21*I21*(A21^2)*Input!$B$69</f>
        <v>719238.8684393321</v>
      </c>
      <c r="AJ21" s="25">
        <f t="shared" si="6"/>
        <v>0</v>
      </c>
      <c r="AK21" s="21">
        <f t="shared" si="7"/>
        <v>0</v>
      </c>
      <c r="AL21" s="25">
        <f>0.5*AK21*AJ21*D21*(A21^2)*Input!$B$69+BH21</f>
        <v>0</v>
      </c>
      <c r="AM21" s="27">
        <f>M21*O21*P21*J21*9.81*EXP(S21*(B21^-0.9)+V21*COS(Q21*(B21^-2)))*Input!$B$69</f>
        <v>333418.27793934353</v>
      </c>
      <c r="AN21" s="25">
        <f>IF(Input!$B$14=0,0,0.11*EXP(-3*W21^-2)*(X21^3)*9.81*(Input!$B$14^1.5)*Input!$B$69/(1+(Calculates!X21^2)))</f>
        <v>43.95113319205396</v>
      </c>
      <c r="AO21" s="25">
        <f>0.5*Z21*(A21^2)*Input!$B$69*Input!$B$19</f>
        <v>3965.3036081698574</v>
      </c>
      <c r="AP21" s="25">
        <f>0.5*I21*AB21*(A21^2)*Input!$B$69</f>
        <v>180254.66719622572</v>
      </c>
      <c r="AQ21" s="27">
        <f t="shared" si="8"/>
        <v>1353690.3736630762</v>
      </c>
      <c r="AR21" s="25">
        <f>IF(Input!$B$60=0.2,(0.001979*Input!$B$6/(Input!$B$7-Input!$B$7*Calculates!AC21)+1.0585*Calculates!AH21-0.00524-0.1418*(Input!$B$58^2)/(Input!$B$7*Input!$B$8)+0.0015*Input!$B$15),(0.325*Input!$B$11-0.1885*Input!$B$58/((Input!$B$7*Input!$B$8)^2)))</f>
        <v>0.16818085920204173</v>
      </c>
      <c r="AS21" s="25">
        <f>IF(Input!$B$60=0.2,(Calculates!AE21*Calculates!AG21*(Input!$B$6/Input!$B$17)*(0.0661875+1.21756*Calculates!AF21*Calculates!AG21/(1-Calculates!AC21))+0.24558*(Input!$B$7/(Input!$B$6*(1-Calculates!AC21)))^0.5-0.09726/(0.95-Input!$B$10)+0.11434/(0.95-Input!$B$11)+0.75*Input!$B$15*Calculates!AG21+0.002*Input!$B$15),(0.3095*Input!$B$11+10*Input!$B$11*Calculates!AG21-0.23*Input!$B$58/((Input!$B$7*Input!$B$8)^0.5)))</f>
        <v>0.25872743264786485</v>
      </c>
      <c r="AT21" s="25">
        <f>IF(Input!$B$60=0.2,(0.9922-0.05908*Calculates!AV21+0.07424*(Input!$B$10-0.0225*Input!$B$9)),(0.9737+0.111*(Input!$B$10-0.0225*Input!$B$9)-0.06325*Input!$B$57/Input!$B$58))</f>
        <v>1.0058401430204646</v>
      </c>
      <c r="AU21" s="25">
        <f t="shared" si="9"/>
        <v>1627385.4582914389</v>
      </c>
      <c r="AV21" s="25">
        <f>Input!$B$60+(1.3+0.3*Input!$B$56)*AU21/((Input!$B$58^2)*(99047+Input!$B$69*9.81*(Input!$B$8-Input!$B$59)))</f>
        <v>0.5588352230794751</v>
      </c>
      <c r="AW21" s="25">
        <f>2.073*AV21*Input!$B$58/Input!$B$56</f>
        <v>2.1084070597476283</v>
      </c>
      <c r="AX21" s="25">
        <f>(0.0185-0.00125*Input!$B$56)*Input!$B$58/Calculates!AW21</f>
        <v>0.05287166891451374</v>
      </c>
      <c r="AY21" s="25">
        <f t="shared" si="10"/>
        <v>0.0005065720976584248</v>
      </c>
      <c r="AZ21" s="27">
        <f t="shared" si="11"/>
        <v>15738605.922471814</v>
      </c>
      <c r="BA21" s="25">
        <f>AZ21/(AT21*0.99*Input!$B$61*(1-Calculates!AR21)/(1-Calculates!AS21))</f>
        <v>22356847.86790993</v>
      </c>
      <c r="BH21" s="25">
        <f>0.007*3.14*(A21^2)*(($BF$14^2)*$BD$14+($BF$15^2)*$BD$15)*Input!$B$69</f>
        <v>0</v>
      </c>
    </row>
    <row r="22" spans="1:60" ht="12.75">
      <c r="A22" s="21">
        <f>A21+(Input!$B$65-Input!$B$64)*0.5144444444/20</f>
        <v>12.24377777632</v>
      </c>
      <c r="B22" s="27">
        <f>A22/(9.81*Input!$B$6)^0.5</f>
        <v>0.27302599868926997</v>
      </c>
      <c r="C22" s="27">
        <f>A22*Input!$B$6/Input!$B$68</f>
        <v>2112239707.2671885</v>
      </c>
      <c r="D22" s="25">
        <f t="shared" si="0"/>
        <v>0.001397901132045565</v>
      </c>
      <c r="E22" s="29">
        <f>(1-Input!$B$10+0.06*Input!$B$10*Input!$B$9/(4*Input!$B$10-1))*Input!$B$6</f>
        <v>74.61021171171173</v>
      </c>
      <c r="F22" s="30">
        <f>IF((Input!$B$8/Input!$B$6)&gt;0.05,((Input!$B$8/Input!$B$6)^0.2228446),(IF((Input!$B$8/Input!$B$6)&gt;0.02,(0.479948+48.2*(Input!$B$8/Input!$B$6-0.02)^2.078),0.479948)))</f>
        <v>0.5102208281235032</v>
      </c>
      <c r="G22" s="25">
        <f>1+0.003*Input!$B$15</f>
        <v>1.03</v>
      </c>
      <c r="H22" s="25">
        <f>G22*(0.93+F22*((Input!$B$7/E22)^0.92497)*((0.95-Input!$B$10)^(-0.521448))*((1-Input!$B$10+0.0225*Input!$B$9)^0.6906))</f>
        <v>1.1623512166412657</v>
      </c>
      <c r="I22" s="29">
        <f>IF(Input!$B$20&gt;0,Input!$B$20,Input!$B$6*(2*Input!$B$8+Input!$B$7)*(Input!$B$12^0.5)*(0.453+0.4425*Input!$B$11-0.2862*Input!$B$12-0.003467*(Input!$B$7/Input!$B$8)+0.3696*Input!$B$13)+2.38*Input!$B$14/Input!$B$11)</f>
        <v>7381.43</v>
      </c>
      <c r="J22" s="29">
        <f>Input!$B$6*Input!$B$7*Input!$B$8*Input!$B$11</f>
        <v>37523.2</v>
      </c>
      <c r="K22" s="31">
        <f>1+89*EXP(-1*((Input!$B$6/Input!$B$7)^0.80856)*((1-Input!$B$13)^0.30484)*((1-Input!$B$10-0.0225*Input!$B$9)^0.6367)*((Calculates!$E$3/Input!$B$7)^0.34574)*((100*Calculates!$J$3/(Input!$B$6^3))^0.16302))</f>
        <v>11.822355456040485</v>
      </c>
      <c r="L22" s="25">
        <f>IF(Input!$B$7/Input!$B$6&lt;0.11,(0.229577*(Input!$B$7/Input!$B$6)^0.33333),(IF(Input!$B$7/Input!$B$6&lt;0.25,(Input!$B$7/Input!$B$6),(0.5-0.0625*Input!$B$7/Input!$B$6))))</f>
        <v>0.15609756097560976</v>
      </c>
      <c r="M22" s="25">
        <f>2223105*(L22^3.78613)*((Input!$B$8/Input!$B$7)^1.07961)*((90-Calculates!K22)^(-1.37565))</f>
        <v>1.3914538154228873</v>
      </c>
      <c r="N22" s="25">
        <f>0.56*(Input!$B$14^1.5)/(Input!$B$7*Input!$B$8*(0.31*(Input!$B$14^0.5)+Input!$B$16-Input!$B$18))</f>
        <v>0.021191048493160156</v>
      </c>
      <c r="O22" s="25">
        <f t="shared" si="1"/>
        <v>0.7594733474184135</v>
      </c>
      <c r="P22" s="25">
        <f>1-0.8*Input!$B$19/(Input!$B$7*Input!$B$8*Input!$B$12)</f>
        <v>0.9591836734693877</v>
      </c>
      <c r="Q22" s="25">
        <f>IF(Input!$B$6/Input!$B$7&lt;12,(1.446*Input!$B$10-0.03*Input!$B$6/Input!$B$7),(1.446*Input!$B$10-0.36))</f>
        <v>0.6508305</v>
      </c>
      <c r="R22" s="25">
        <f>IF(Input!$B$10&lt;0.8,(8.07981*(Input!$B$10)-13.8673*(Input!$B$10^2)+6.984388*(Input!$B$10^3)),(1.73014-0.7067*Input!$B$10))</f>
        <v>1.3811799089593564</v>
      </c>
      <c r="S22" s="25">
        <f>0.0140407*(Input!$B$6/Input!$B$8)-1.75254*((Calculates!J22^(1/3))/Input!$B$6)-4.79323*(Input!$B$7/Input!$B$6)-Calculates!R22</f>
        <v>-2.12776436725836</v>
      </c>
      <c r="T22" s="25">
        <f>(Input!$B$6^3)/Calculates!J22</f>
        <v>229.59462412587413</v>
      </c>
      <c r="U22" s="25">
        <f t="shared" si="2"/>
        <v>-1.69385</v>
      </c>
      <c r="V22" s="25">
        <f>U22*(Input!$B$10^2)*EXP(-0.1*(Calculates!B22^(-2)))</f>
        <v>-0.15052347898442323</v>
      </c>
      <c r="W22" s="25">
        <f>0.56*(Input!$B$14^0.5)/(Input!$B$16-1.5*Input!$B$18)</f>
        <v>0.6260990336999412</v>
      </c>
      <c r="X22" s="25">
        <f>A22/((9.81*(Input!$B$16-Input!$B$18-0.25*(Input!$B$14^0.5))+0.15*Calculates!A22^2)^0.5)</f>
        <v>1.459469839968744</v>
      </c>
      <c r="Y22" s="25">
        <f>IF(Input!$B$19=0,0,A22/(2*9.81*Input!$B$19/(Input!$B$7+Input!$B$7*Input!$B$13))^0.5)</f>
        <v>5.171302693785003</v>
      </c>
      <c r="Z22" s="25">
        <f t="shared" si="3"/>
        <v>0</v>
      </c>
      <c r="AA22" s="25">
        <f>IF(Input!$B$16/Input!$B$6&gt;0.04,0.04,Input!$B$16/Input!$B$6)</f>
        <v>0.04</v>
      </c>
      <c r="AB22" s="25">
        <f>0.006*((Input!$B$6+100)^(-0.16))-0.00205+0.003*((Input!$B$6/7.5)^0.5)*(Input!$B$11^4)*Calculates!O22*(0.04-Calculates!AA22)</f>
        <v>0.00035249933476840445</v>
      </c>
      <c r="AC22" s="25">
        <f>1.45*Input!$B$10-0.315-0.0225*Input!$B$9</f>
        <v>0.5757999999999999</v>
      </c>
      <c r="AD22" s="25">
        <f>IF(Input!$B$7/Input!$B$17&lt;5,(Input!$B$7*Calculates!I22/(Input!$B$6*Input!$B$58*Input!$B$17)),(Calculates!I22*(7*Input!$B$7/Input!$B$17-25)/(Input!$B$6*Input!$B$58(Input!$B$7/Input!$B$17-3))))</f>
        <v>12.661793621013134</v>
      </c>
      <c r="AE22" s="25">
        <f t="shared" si="4"/>
        <v>12.661793621013134</v>
      </c>
      <c r="AF22" s="25">
        <f>IF(Input!$B$17/Input!$B$58&lt;2,Input!$B$17/Input!$B$58,0.0833333*((Input!$B$17/Input!$B$58)^3)+1.33333)</f>
        <v>1.098901098901099</v>
      </c>
      <c r="AG22" s="25">
        <f t="shared" si="5"/>
        <v>0.0019773514163457695</v>
      </c>
      <c r="AH22" s="25">
        <f>IF(Input!$B$6/Input!$B$7&gt;5.2,Input!$B$7/Input!$B$6,0.25-0.003328402/((Input!$B$7/Input!$B$6)-0.134615385))</f>
        <v>0.15609756097560976</v>
      </c>
      <c r="AI22" s="25">
        <f>0.5*D22*I22*(A22^2)*Input!$B$69</f>
        <v>792759.9636185332</v>
      </c>
      <c r="AJ22" s="25">
        <f t="shared" si="6"/>
        <v>0</v>
      </c>
      <c r="AK22" s="21">
        <f t="shared" si="7"/>
        <v>0</v>
      </c>
      <c r="AL22" s="25">
        <f>0.5*AK22*AJ22*D22*(A22^2)*Input!$B$69+BH22</f>
        <v>0</v>
      </c>
      <c r="AM22" s="27">
        <f>M22*O22*P22*J22*9.81*EXP(S22*(B22^-0.9)+V22*COS(Q22*(B22^-2)))*Input!$B$69</f>
        <v>457421.00307188026</v>
      </c>
      <c r="AN22" s="25">
        <f>IF(Input!$B$14=0,0,0.11*EXP(-3*W22^-2)*(X22^3)*9.81*(Input!$B$14^1.5)*Input!$B$69/(1+(Calculates!X22^2)))</f>
        <v>46.63178970528829</v>
      </c>
      <c r="AO22" s="25">
        <f>0.5*Z22*(A22^2)*Input!$B$69*Input!$B$19</f>
        <v>0</v>
      </c>
      <c r="AP22" s="25">
        <f>0.5*I22*AB22*(A22^2)*Input!$B$69</f>
        <v>199904.95278992938</v>
      </c>
      <c r="AQ22" s="27">
        <f t="shared" si="8"/>
        <v>1578838.0958680026</v>
      </c>
      <c r="AR22" s="25">
        <f>IF(Input!$B$60=0.2,(0.001979*Input!$B$6/(Input!$B$7-Input!$B$7*Calculates!AC22)+1.0585*Calculates!AH22-0.00524-0.1418*(Input!$B$58^2)/(Input!$B$7*Input!$B$8)+0.0015*Input!$B$15),(0.325*Input!$B$11-0.1885*Input!$B$58/((Input!$B$7*Input!$B$8)^2)))</f>
        <v>0.16818085920204173</v>
      </c>
      <c r="AS22" s="25">
        <f>IF(Input!$B$60=0.2,(Calculates!AE22*Calculates!AG22*(Input!$B$6/Input!$B$17)*(0.0661875+1.21756*Calculates!AF22*Calculates!AG22/(1-Calculates!AC22))+0.24558*(Input!$B$7/(Input!$B$6*(1-Calculates!AC22)))^0.5-0.09726/(0.95-Input!$B$10)+0.11434/(0.95-Input!$B$11)+0.75*Input!$B$15*Calculates!AG22+0.002*Input!$B$15),(0.3095*Input!$B$11+10*Input!$B$11*Calculates!AG22-0.23*Input!$B$58/((Input!$B$7*Input!$B$8)^0.5)))</f>
        <v>0.2584477686288306</v>
      </c>
      <c r="AT22" s="25">
        <f>IF(Input!$B$60=0.2,(0.9922-0.05908*Calculates!AV22+0.07424*(Input!$B$10-0.0225*Input!$B$9)),(0.9737+0.111*(Input!$B$10-0.0225*Input!$B$9)-0.06325*Input!$B$57/Input!$B$58))</f>
        <v>1.0023141311481891</v>
      </c>
      <c r="AU22" s="25">
        <f t="shared" si="9"/>
        <v>1898054.5390593372</v>
      </c>
      <c r="AV22" s="25">
        <f>Input!$B$60+(1.3+0.3*Input!$B$56)*AU22/((Input!$B$58^2)*(99047+Input!$B$69*9.81*(Input!$B$8-Input!$B$59)))</f>
        <v>0.618517211438911</v>
      </c>
      <c r="AW22" s="25">
        <f>2.073*AV22*Input!$B$58/Input!$B$56</f>
        <v>2.33357884634941</v>
      </c>
      <c r="AX22" s="25">
        <f>(0.0185-0.00125*Input!$B$56)*Input!$B$58/Calculates!AW22</f>
        <v>0.04776997364986771</v>
      </c>
      <c r="AY22" s="25">
        <f t="shared" si="10"/>
        <v>0.0006356940508507405</v>
      </c>
      <c r="AZ22" s="27">
        <f t="shared" si="11"/>
        <v>19330942.790596034</v>
      </c>
      <c r="BA22" s="25">
        <f>AZ22/(AT22*0.99*Input!$B$61*(1-Calculates!AR22)/(1-Calculates!AS22))</f>
        <v>27566794.87384501</v>
      </c>
      <c r="BH22" s="25">
        <f>0.007*3.14*(A22^2)*(($BF$14^2)*$BD$14+($BF$15^2)*$BD$15)*Input!$B$69</f>
        <v>0</v>
      </c>
    </row>
    <row r="23" spans="1:60" ht="12.75">
      <c r="A23" s="21">
        <f>A22+(Input!$B$65-Input!$B$64)*0.5144444444/20</f>
        <v>12.8611111096</v>
      </c>
      <c r="B23" s="27">
        <f>A23/(9.81*Input!$B$6)^0.5</f>
        <v>0.28679201543035515</v>
      </c>
      <c r="C23" s="27">
        <f>A23*Input!$B$6/Input!$B$68</f>
        <v>2218739188.3093495</v>
      </c>
      <c r="D23" s="25">
        <f t="shared" si="0"/>
        <v>0.0013897825423041252</v>
      </c>
      <c r="E23" s="29">
        <f>(1-Input!$B$10+0.06*Input!$B$10*Input!$B$9/(4*Input!$B$10-1))*Input!$B$6</f>
        <v>74.61021171171173</v>
      </c>
      <c r="F23" s="30">
        <f>IF((Input!$B$8/Input!$B$6)&gt;0.05,((Input!$B$8/Input!$B$6)^0.2228446),(IF((Input!$B$8/Input!$B$6)&gt;0.02,(0.479948+48.2*(Input!$B$8/Input!$B$6-0.02)^2.078),0.479948)))</f>
        <v>0.5102208281235032</v>
      </c>
      <c r="G23" s="25">
        <f>1+0.003*Input!$B$15</f>
        <v>1.03</v>
      </c>
      <c r="H23" s="25">
        <f>G23*(0.93+F23*((Input!$B$7/E23)^0.92497)*((0.95-Input!$B$10)^(-0.521448))*((1-Input!$B$10+0.0225*Input!$B$9)^0.6906))</f>
        <v>1.1623512166412657</v>
      </c>
      <c r="I23" s="29">
        <f>IF(Input!$B$20&gt;0,Input!$B$20,Input!$B$6*(2*Input!$B$8+Input!$B$7)*(Input!$B$12^0.5)*(0.453+0.4425*Input!$B$11-0.2862*Input!$B$12-0.003467*(Input!$B$7/Input!$B$8)+0.3696*Input!$B$13)+2.38*Input!$B$14/Input!$B$11)</f>
        <v>7381.43</v>
      </c>
      <c r="J23" s="29">
        <f>Input!$B$6*Input!$B$7*Input!$B$8*Input!$B$11</f>
        <v>37523.2</v>
      </c>
      <c r="K23" s="31">
        <f>1+89*EXP(-1*((Input!$B$6/Input!$B$7)^0.80856)*((1-Input!$B$13)^0.30484)*((1-Input!$B$10-0.0225*Input!$B$9)^0.6367)*((Calculates!$E$3/Input!$B$7)^0.34574)*((100*Calculates!$J$3/(Input!$B$6^3))^0.16302))</f>
        <v>11.822355456040485</v>
      </c>
      <c r="L23" s="25">
        <f>IF(Input!$B$7/Input!$B$6&lt;0.11,(0.229577*(Input!$B$7/Input!$B$6)^0.33333),(IF(Input!$B$7/Input!$B$6&lt;0.25,(Input!$B$7/Input!$B$6),(0.5-0.0625*Input!$B$7/Input!$B$6))))</f>
        <v>0.15609756097560976</v>
      </c>
      <c r="M23" s="25">
        <f>2223105*(L23^3.78613)*((Input!$B$8/Input!$B$7)^1.07961)*((90-Calculates!K23)^(-1.37565))</f>
        <v>1.3914538154228873</v>
      </c>
      <c r="N23" s="25">
        <f>0.56*(Input!$B$14^1.5)/(Input!$B$7*Input!$B$8*(0.31*(Input!$B$14^0.5)+Input!$B$16-Input!$B$18))</f>
        <v>0.021191048493160156</v>
      </c>
      <c r="O23" s="25">
        <f t="shared" si="1"/>
        <v>0.7594733474184135</v>
      </c>
      <c r="P23" s="25">
        <f>1-0.8*Input!$B$19/(Input!$B$7*Input!$B$8*Input!$B$12)</f>
        <v>0.9591836734693877</v>
      </c>
      <c r="Q23" s="25">
        <f>IF(Input!$B$6/Input!$B$7&lt;12,(1.446*Input!$B$10-0.03*Input!$B$6/Input!$B$7),(1.446*Input!$B$10-0.36))</f>
        <v>0.6508305</v>
      </c>
      <c r="R23" s="25">
        <f>IF(Input!$B$10&lt;0.8,(8.07981*(Input!$B$10)-13.8673*(Input!$B$10^2)+6.984388*(Input!$B$10^3)),(1.73014-0.7067*Input!$B$10))</f>
        <v>1.3811799089593564</v>
      </c>
      <c r="S23" s="25">
        <f>0.0140407*(Input!$B$6/Input!$B$8)-1.75254*((Calculates!J23^(1/3))/Input!$B$6)-4.79323*(Input!$B$7/Input!$B$6)-Calculates!R23</f>
        <v>-2.12776436725836</v>
      </c>
      <c r="T23" s="25">
        <f>(Input!$B$6^3)/Calculates!J23</f>
        <v>229.59462412587413</v>
      </c>
      <c r="U23" s="25">
        <f t="shared" si="2"/>
        <v>-1.69385</v>
      </c>
      <c r="V23" s="25">
        <f>U23*(Input!$B$10^2)*EXP(-0.1*(Calculates!B23^(-2)))</f>
        <v>-0.17068378651280328</v>
      </c>
      <c r="W23" s="25">
        <f>0.56*(Input!$B$14^0.5)/(Input!$B$16-1.5*Input!$B$18)</f>
        <v>0.6260990336999412</v>
      </c>
      <c r="X23" s="25">
        <f>A23/((9.81*(Input!$B$16-Input!$B$18-0.25*(Input!$B$14^0.5))+0.15*Calculates!A23^2)^0.5)</f>
        <v>1.5083474317835732</v>
      </c>
      <c r="Y23" s="25">
        <f>IF(Input!$B$19=0,0,A23/(2*9.81*Input!$B$19/(Input!$B$7+Input!$B$7*Input!$B$13))^0.5)</f>
        <v>5.432040644740664</v>
      </c>
      <c r="Z23" s="25">
        <f t="shared" si="3"/>
        <v>0</v>
      </c>
      <c r="AA23" s="25">
        <f>IF(Input!$B$16/Input!$B$6&gt;0.04,0.04,Input!$B$16/Input!$B$6)</f>
        <v>0.04</v>
      </c>
      <c r="AB23" s="25">
        <f>0.006*((Input!$B$6+100)^(-0.16))-0.00205+0.003*((Input!$B$6/7.5)^0.5)*(Input!$B$11^4)*Calculates!O23*(0.04-Calculates!AA23)</f>
        <v>0.00035249933476840445</v>
      </c>
      <c r="AC23" s="25">
        <f>1.45*Input!$B$10-0.315-0.0225*Input!$B$9</f>
        <v>0.5757999999999999</v>
      </c>
      <c r="AD23" s="25">
        <f>IF(Input!$B$7/Input!$B$17&lt;5,(Input!$B$7*Calculates!I23/(Input!$B$6*Input!$B$58*Input!$B$17)),(Calculates!I23*(7*Input!$B$7/Input!$B$17-25)/(Input!$B$6*Input!$B$58(Input!$B$7/Input!$B$17-3))))</f>
        <v>12.661793621013134</v>
      </c>
      <c r="AE23" s="25">
        <f t="shared" si="4"/>
        <v>12.661793621013134</v>
      </c>
      <c r="AF23" s="25">
        <f>IF(Input!$B$17/Input!$B$58&lt;2,Input!$B$17/Input!$B$58,0.0833333*((Input!$B$17/Input!$B$58)^3)+1.33333)</f>
        <v>1.098901098901099</v>
      </c>
      <c r="AG23" s="25">
        <f t="shared" si="5"/>
        <v>0.001967914763682396</v>
      </c>
      <c r="AH23" s="25">
        <f>IF(Input!$B$6/Input!$B$7&gt;5.2,Input!$B$7/Input!$B$6,0.25-0.003328402/((Input!$B$7/Input!$B$6)-0.134615385))</f>
        <v>0.15609756097560976</v>
      </c>
      <c r="AI23" s="25">
        <f>0.5*D23*I23*(A23^2)*Input!$B$69</f>
        <v>869637.3975579607</v>
      </c>
      <c r="AJ23" s="25">
        <f t="shared" si="6"/>
        <v>0</v>
      </c>
      <c r="AK23" s="21">
        <f t="shared" si="7"/>
        <v>0</v>
      </c>
      <c r="AL23" s="25">
        <f>0.5*AK23*AJ23*D23*(A23^2)*Input!$B$69+BH23</f>
        <v>0</v>
      </c>
      <c r="AM23" s="27">
        <f>M23*O23*P23*J23*9.81*EXP(S23*(B23^-0.9)+V23*COS(Q23*(B23^-2)))*Input!$B$69</f>
        <v>553539.2429638793</v>
      </c>
      <c r="AN23" s="25">
        <f>IF(Input!$B$14=0,0,0.11*EXP(-3*W23^-2)*(X23^3)*9.81*(Input!$B$14^1.5)*Input!$B$69/(1+(Calculates!X23^2)))</f>
        <v>49.19560473756574</v>
      </c>
      <c r="AO23" s="25">
        <f>0.5*Z23*(A23^2)*Input!$B$69*Input!$B$19</f>
        <v>0</v>
      </c>
      <c r="AP23" s="25">
        <f>0.5*I23*AB23*(A23^2)*Input!$B$69</f>
        <v>220571.6324661</v>
      </c>
      <c r="AQ23" s="27">
        <f t="shared" si="8"/>
        <v>1784984.1581229565</v>
      </c>
      <c r="AR23" s="25">
        <f>IF(Input!$B$60=0.2,(0.001979*Input!$B$6/(Input!$B$7-Input!$B$7*Calculates!AC23)+1.0585*Calculates!AH23-0.00524-0.1418*(Input!$B$58^2)/(Input!$B$7*Input!$B$8)+0.0015*Input!$B$15),(0.325*Input!$B$11-0.1885*Input!$B$58/((Input!$B$7*Input!$B$8)^2)))</f>
        <v>0.16818085920204173</v>
      </c>
      <c r="AS23" s="25">
        <f>IF(Input!$B$60=0.2,(Calculates!AE23*Calculates!AG23*(Input!$B$6/Input!$B$17)*(0.0661875+1.21756*Calculates!AF23*Calculates!AG23/(1-Calculates!AC23))+0.24558*(Input!$B$7/(Input!$B$6*(1-Calculates!AC23)))^0.5-0.09726/(0.95-Input!$B$10)+0.11434/(0.95-Input!$B$11)+0.75*Input!$B$15*Calculates!AG23+0.002*Input!$B$15),(0.3095*Input!$B$11+10*Input!$B$11*Calculates!AG23-0.23*Input!$B$58/((Input!$B$7*Input!$B$8)^0.5)))</f>
        <v>0.2581843908563441</v>
      </c>
      <c r="AT23" s="25">
        <f>IF(Input!$B$60=0.2,(0.9922-0.05908*Calculates!AV23+0.07424*(Input!$B$10-0.0225*Input!$B$9)),(0.9737+0.111*(Input!$B$10-0.0225*Input!$B$9)-0.06325*Input!$B$57/Input!$B$58))</f>
        <v>0.9990857020270087</v>
      </c>
      <c r="AU23" s="25">
        <f t="shared" si="9"/>
        <v>2145880.1205399456</v>
      </c>
      <c r="AV23" s="25">
        <f>Input!$B$60+(1.3+0.3*Input!$B$56)*AU23/((Input!$B$58^2)*(99047+Input!$B$69*9.81*(Input!$B$8-Input!$B$59)))</f>
        <v>0.6731622541129185</v>
      </c>
      <c r="AW23" s="25">
        <f>2.073*AV23*Input!$B$58/Input!$B$56</f>
        <v>2.539746942052466</v>
      </c>
      <c r="AX23" s="25">
        <f>(0.0185-0.00125*Input!$B$56)*Input!$B$58/Calculates!AW23</f>
        <v>0.04389216821338618</v>
      </c>
      <c r="AY23" s="25">
        <f t="shared" si="10"/>
        <v>0.0007394755371135944</v>
      </c>
      <c r="AZ23" s="27">
        <f t="shared" si="11"/>
        <v>22956879.586495157</v>
      </c>
      <c r="BA23" s="25">
        <f>AZ23/(AT23*0.99*Input!$B$61*(1-Calculates!AR23)/(1-Calculates!AS23))</f>
        <v>32854996.574783664</v>
      </c>
      <c r="BH23" s="25">
        <f>0.007*3.14*(A23^2)*(($BF$14^2)*$BD$14+($BF$15^2)*$BD$15)*Input!$B$69</f>
        <v>0</v>
      </c>
    </row>
  </sheetData>
  <sheetProtection/>
  <printOptions/>
  <pageMargins left="0.75" right="0.75" top="1" bottom="1" header="0.492125985" footer="0.492125985"/>
  <pageSetup horizontalDpi="600" verticalDpi="600" orientation="portrait" r:id="rId1"/>
  <ignoredErrors>
    <ignoredError sqref="BF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N98"/>
  <sheetViews>
    <sheetView zoomScale="75" zoomScaleNormal="75" zoomScalePageLayoutView="0" workbookViewId="0" topLeftCell="A1">
      <selection activeCell="J6" sqref="J6"/>
    </sheetView>
  </sheetViews>
  <sheetFormatPr defaultColWidth="9.140625" defaultRowHeight="12.75"/>
  <cols>
    <col min="9" max="9" width="10.28125" style="0" customWidth="1"/>
  </cols>
  <sheetData>
    <row r="1" spans="5:7" ht="12.75">
      <c r="E1" s="32"/>
      <c r="F1" s="13" t="s">
        <v>127</v>
      </c>
      <c r="G1" s="4"/>
    </row>
    <row r="4" spans="2:9" s="1" customFormat="1" ht="12.75">
      <c r="B4" s="33" t="s">
        <v>11</v>
      </c>
      <c r="C4" s="33" t="s">
        <v>132</v>
      </c>
      <c r="D4" s="33" t="s">
        <v>123</v>
      </c>
      <c r="E4" s="33" t="s">
        <v>129</v>
      </c>
      <c r="F4" s="33" t="s">
        <v>130</v>
      </c>
      <c r="G4" s="33" t="s">
        <v>120</v>
      </c>
      <c r="H4" s="33" t="s">
        <v>119</v>
      </c>
      <c r="I4" s="33" t="s">
        <v>121</v>
      </c>
    </row>
    <row r="5" spans="1:10" s="1" customFormat="1" ht="12.75">
      <c r="A5" s="1" t="s">
        <v>48</v>
      </c>
      <c r="B5" s="34" t="s">
        <v>128</v>
      </c>
      <c r="C5" s="34" t="s">
        <v>133</v>
      </c>
      <c r="D5" s="34" t="s">
        <v>133</v>
      </c>
      <c r="E5" s="34" t="s">
        <v>131</v>
      </c>
      <c r="F5" s="34" t="s">
        <v>131</v>
      </c>
      <c r="G5" s="34"/>
      <c r="H5" s="34"/>
      <c r="I5" s="34"/>
      <c r="J5" s="1" t="s">
        <v>161</v>
      </c>
    </row>
    <row r="6" spans="1:10" ht="12.75">
      <c r="A6">
        <f>(B6*0.514444)/(SQRT(9.81*Input!$B$6))</f>
        <v>0.011471670697922053</v>
      </c>
      <c r="B6" s="21">
        <f>Calculates!A3/0.514444444444</f>
        <v>0.9999999991369332</v>
      </c>
      <c r="C6" s="35">
        <f>Calculates!AQ3/1000</f>
        <v>3.2349593250685635</v>
      </c>
      <c r="D6" s="35">
        <f>Calculates!AU3/1000</f>
        <v>3.8890176558876606</v>
      </c>
      <c r="E6" s="35">
        <f>Calculates!AZ3/1000</f>
        <v>1.6642068513475123</v>
      </c>
      <c r="F6" s="35">
        <f>Calculates!BA3/1000</f>
        <v>2.2412421766683073</v>
      </c>
      <c r="G6" s="25">
        <f>Calculates!AS3</f>
        <v>0.28245007480791523</v>
      </c>
      <c r="H6" s="25">
        <f>Calculates!AR3</f>
        <v>0.16818085920204173</v>
      </c>
      <c r="I6" s="25">
        <f>Calculates!AT3</f>
        <v>1.0269894656842775</v>
      </c>
      <c r="J6">
        <f>(2*C6)/(((B6*0.514444)^2)*Input!$B$20*1.025)</f>
        <v>0.0032311583128351528</v>
      </c>
    </row>
    <row r="7" spans="1:12" ht="12.75">
      <c r="A7">
        <f>(B7*0.514444)/(SQRT(9.81*Input!$B$6))</f>
        <v>0.025237675546132102</v>
      </c>
      <c r="B7" s="21">
        <f>Calculates!A4/0.514444444444</f>
        <v>2.199999999034298</v>
      </c>
      <c r="C7" s="35">
        <f>Calculates!AQ4/1000</f>
        <v>14.283298779696214</v>
      </c>
      <c r="D7" s="35">
        <f>Calculates!AU4/1000</f>
        <v>17.171159064690848</v>
      </c>
      <c r="E7" s="35">
        <f>Calculates!AZ4/1000</f>
        <v>16.165520145110715</v>
      </c>
      <c r="F7" s="35">
        <f>Calculates!BA4/1000</f>
        <v>22.004561459540977</v>
      </c>
      <c r="G7" s="25">
        <f>Calculates!AS4</f>
        <v>0.2748622725603811</v>
      </c>
      <c r="H7" s="25">
        <f>Calculates!AR4</f>
        <v>0.16818085920204173</v>
      </c>
      <c r="I7" s="25">
        <f>Calculates!AT4</f>
        <v>1.026816438945635</v>
      </c>
      <c r="J7">
        <f>(2*C7)/(((B7*0.514444)^2)*Input!$B$20*1.025)</f>
        <v>0.002947627309588066</v>
      </c>
      <c r="K7" s="23" t="s">
        <v>137</v>
      </c>
      <c r="L7" t="s">
        <v>135</v>
      </c>
    </row>
    <row r="8" spans="1:12" ht="12.75">
      <c r="A8">
        <f>(B8*0.514444)/(SQRT(9.81*Input!$B$6))</f>
        <v>0.039003680394342155</v>
      </c>
      <c r="B8" s="21">
        <f>Calculates!A5/0.514444444444</f>
        <v>3.3999999989316634</v>
      </c>
      <c r="C8" s="35">
        <f>Calculates!AQ5/1000</f>
        <v>32.387107943554476</v>
      </c>
      <c r="D8" s="35">
        <f>Calculates!AU5/1000</f>
        <v>38.93527613765386</v>
      </c>
      <c r="E8" s="35">
        <f>Calculates!AZ5/1000</f>
        <v>56.64865034297717</v>
      </c>
      <c r="F8" s="35">
        <f>Calculates!BA5/1000</f>
        <v>77.51917407029995</v>
      </c>
      <c r="G8" s="25">
        <f>Calculates!AS5</f>
        <v>0.27121889618287104</v>
      </c>
      <c r="H8" s="25">
        <f>Calculates!AR5</f>
        <v>0.16818085920204173</v>
      </c>
      <c r="I8" s="25">
        <f>Calculates!AT5</f>
        <v>1.0265329173296043</v>
      </c>
      <c r="J8">
        <f>(2*C8)/(((B8*0.514444)^2)*Input!$B$20*1.025)</f>
        <v>0.0027983610472924014</v>
      </c>
      <c r="K8" s="23" t="s">
        <v>4</v>
      </c>
      <c r="L8" t="s">
        <v>136</v>
      </c>
    </row>
    <row r="9" spans="1:12" ht="12.75">
      <c r="A9">
        <f>(B9*0.514444)/(SQRT(9.81*Input!$B$6))</f>
        <v>0.052769685242552204</v>
      </c>
      <c r="B9" s="21">
        <f>Calculates!A6/0.514444444444</f>
        <v>4.599999998829028</v>
      </c>
      <c r="C9" s="35">
        <f>Calculates!AQ6/1000</f>
        <v>57.07477500703249</v>
      </c>
      <c r="D9" s="35">
        <f>Calculates!AU6/1000</f>
        <v>68.61440451139542</v>
      </c>
      <c r="E9" s="35">
        <f>Calculates!AZ6/1000</f>
        <v>135.0642841988101</v>
      </c>
      <c r="F9" s="35">
        <f>Calculates!BA6/1000</f>
        <v>185.48657403083823</v>
      </c>
      <c r="G9" s="25">
        <f>Calculates!AS6</f>
        <v>0.2688846703645487</v>
      </c>
      <c r="H9" s="25">
        <f>Calculates!AR6</f>
        <v>0.16818085920204173</v>
      </c>
      <c r="I9" s="25">
        <f>Calculates!AT6</f>
        <v>1.0261462866930064</v>
      </c>
      <c r="J9">
        <f>(2*C9)/(((B9*0.514444)^2)*Input!$B$20*1.025)</f>
        <v>0.002694126333806995</v>
      </c>
      <c r="K9" s="23" t="s">
        <v>138</v>
      </c>
      <c r="L9" t="s">
        <v>143</v>
      </c>
    </row>
    <row r="10" spans="1:12" ht="12.75">
      <c r="A10">
        <f>(B10*0.514444)/(SQRT(9.81*Input!$B$6))</f>
        <v>0.06653569009076227</v>
      </c>
      <c r="B10" s="21">
        <f>Calculates!A7/0.514444444444</f>
        <v>5.799999998726394</v>
      </c>
      <c r="C10" s="35">
        <f>Calculates!AQ7/1000</f>
        <v>87.97586909826553</v>
      </c>
      <c r="D10" s="35">
        <f>Calculates!AU7/1000</f>
        <v>105.76321796811612</v>
      </c>
      <c r="E10" s="35">
        <f>Calculates!AZ7/1000</f>
        <v>262.50044313822286</v>
      </c>
      <c r="F10" s="35">
        <f>Calculates!BA7/1000</f>
        <v>361.5016193583526</v>
      </c>
      <c r="G10" s="25">
        <f>Calculates!AS7</f>
        <v>0.2671935675496792</v>
      </c>
      <c r="H10" s="25">
        <f>Calculates!AR7</f>
        <v>0.16818085920204173</v>
      </c>
      <c r="I10" s="25">
        <f>Calculates!AT7</f>
        <v>1.0256623483099532</v>
      </c>
      <c r="J10">
        <f>(2*C10)/(((B10*0.514444)^2)*Input!$B$20*1.025)</f>
        <v>0.002612143255230839</v>
      </c>
      <c r="K10" s="23" t="s">
        <v>139</v>
      </c>
      <c r="L10" t="s">
        <v>144</v>
      </c>
    </row>
    <row r="11" spans="1:12" ht="12.75">
      <c r="A11">
        <f>(B11*0.514444)/(SQRT(9.81*Input!$B$6))</f>
        <v>0.08030169493897231</v>
      </c>
      <c r="B11" s="21">
        <f>Calculates!A8/0.514444444444</f>
        <v>6.999999998623759</v>
      </c>
      <c r="C11" s="35">
        <f>Calculates!AQ8/1000</f>
        <v>124.7683678764339</v>
      </c>
      <c r="D11" s="35">
        <f>Calculates!AU8/1000</f>
        <v>149.99458627117485</v>
      </c>
      <c r="E11" s="35">
        <f>Calculates!AZ8/1000</f>
        <v>449.3047557863005</v>
      </c>
      <c r="F11" s="35">
        <f>Calculates!BA8/1000</f>
        <v>620.2156905044262</v>
      </c>
      <c r="G11" s="25">
        <f>Calculates!AS8</f>
        <v>0.2658805155425312</v>
      </c>
      <c r="H11" s="25">
        <f>Calculates!AR8</f>
        <v>0.16818085920204173</v>
      </c>
      <c r="I11" s="25">
        <f>Calculates!AT8</f>
        <v>1.0250861453342712</v>
      </c>
      <c r="J11">
        <f>(2*C11)/(((B11*0.514444)^2)*Input!$B$20*1.025)</f>
        <v>0.0025433013751840214</v>
      </c>
      <c r="K11" s="23" t="s">
        <v>140</v>
      </c>
      <c r="L11" t="s">
        <v>146</v>
      </c>
    </row>
    <row r="12" spans="1:12" ht="12.75">
      <c r="A12">
        <f>(B12*0.514444)/(SQRT(9.81*Input!$B$6))</f>
        <v>0.09406769978718237</v>
      </c>
      <c r="B12" s="21">
        <f>Calculates!A9/0.514444444444</f>
        <v>8.199999998521124</v>
      </c>
      <c r="C12" s="35">
        <f>Calculates!AQ9/1000</f>
        <v>167.16326653475048</v>
      </c>
      <c r="D12" s="35">
        <f>Calculates!AU9/1000</f>
        <v>200.9610723484818</v>
      </c>
      <c r="E12" s="35">
        <f>Calculates!AZ9/1000</f>
        <v>705.168952900917</v>
      </c>
      <c r="F12" s="35">
        <f>Calculates!BA9/1000</f>
        <v>975.4533651108967</v>
      </c>
      <c r="G12" s="25">
        <f>Calculates!AS9</f>
        <v>0.2648144457284598</v>
      </c>
      <c r="H12" s="25">
        <f>Calculates!AR9</f>
        <v>0.16818085920204173</v>
      </c>
      <c r="I12" s="25">
        <f>Calculates!AT9</f>
        <v>1.0244222038360886</v>
      </c>
      <c r="J12">
        <f>(2*C12)/(((B12*0.514444)^2)*Input!$B$20*1.025)</f>
        <v>0.0024831477219814514</v>
      </c>
      <c r="K12" s="23" t="s">
        <v>141</v>
      </c>
      <c r="L12" t="s">
        <v>145</v>
      </c>
    </row>
    <row r="13" spans="1:12" ht="12.75">
      <c r="A13">
        <f>(B13*0.514444)/(SQRT(9.81*Input!$B$6))</f>
        <v>0.10783370463539245</v>
      </c>
      <c r="B13" s="21">
        <f>Calculates!A10/0.514444444444</f>
        <v>9.39999999841849</v>
      </c>
      <c r="C13" s="35">
        <f>Calculates!AQ10/1000</f>
        <v>214.91852148606574</v>
      </c>
      <c r="D13" s="35">
        <f>Calculates!AU10/1000</f>
        <v>258.3716951739003</v>
      </c>
      <c r="E13" s="35">
        <f>Calculates!AZ10/1000</f>
        <v>1039.298210059417</v>
      </c>
      <c r="F13" s="35">
        <f>Calculates!BA10/1000</f>
        <v>1440.4489916200432</v>
      </c>
      <c r="G13" s="25">
        <f>Calculates!AS10</f>
        <v>0.26392144602560497</v>
      </c>
      <c r="H13" s="25">
        <f>Calculates!AR10</f>
        <v>0.16818085920204173</v>
      </c>
      <c r="I13" s="25">
        <f>Calculates!AT10</f>
        <v>1.023674314431422</v>
      </c>
      <c r="J13">
        <f>(2*C13)/(((B13*0.514444)^2)*Input!$B$20*1.025)</f>
        <v>0.0024294476713627032</v>
      </c>
      <c r="K13" s="23" t="s">
        <v>142</v>
      </c>
      <c r="L13" t="s">
        <v>147</v>
      </c>
    </row>
    <row r="14" spans="1:12" ht="12.75">
      <c r="A14">
        <f>(B14*0.514444)/(SQRT(9.81*Input!$B$6))</f>
        <v>0.12159970948360248</v>
      </c>
      <c r="B14" s="21">
        <f>Calculates!A11/0.514444444444</f>
        <v>10.599999998315855</v>
      </c>
      <c r="C14" s="35">
        <f>Calculates!AQ11/1000</f>
        <v>267.8987057678272</v>
      </c>
      <c r="D14" s="35">
        <f>Calculates!AU11/1000</f>
        <v>322.06364656484567</v>
      </c>
      <c r="E14" s="35">
        <f>Calculates!AZ11/1000</f>
        <v>1460.8814088414556</v>
      </c>
      <c r="F14" s="35">
        <f>Calculates!BA11/1000</f>
        <v>2028.505700759472</v>
      </c>
      <c r="G14" s="25">
        <f>Calculates!AS11</f>
        <v>0.2631559520156412</v>
      </c>
      <c r="H14" s="25">
        <f>Calculates!AR11</f>
        <v>0.16818085920204173</v>
      </c>
      <c r="I14" s="25">
        <f>Calculates!AT11</f>
        <v>1.0228445980259289</v>
      </c>
      <c r="J14">
        <f>(2*C14)/(((B14*0.514444)^2)*Input!$B$20*1.025)</f>
        <v>0.0023814874492024524</v>
      </c>
      <c r="K14" s="23" t="s">
        <v>161</v>
      </c>
      <c r="L14" t="s">
        <v>162</v>
      </c>
    </row>
    <row r="15" spans="1:10" ht="12.75">
      <c r="A15">
        <f>(B15*0.514444)/(SQRT(9.81*Input!$B$6))</f>
        <v>0.13536571433181255</v>
      </c>
      <c r="B15" s="21">
        <f>Calculates!A12/0.514444444444</f>
        <v>11.799999998213222</v>
      </c>
      <c r="C15" s="35">
        <f>Calculates!AQ12/1000</f>
        <v>326.18701875372335</v>
      </c>
      <c r="D15" s="35">
        <f>Calculates!AU12/1000</f>
        <v>392.1369475109871</v>
      </c>
      <c r="E15" s="35">
        <f>Calculates!AZ12/1000</f>
        <v>1980.1001755418945</v>
      </c>
      <c r="F15" s="35">
        <f>Calculates!BA12/1000</f>
        <v>2754.417113982818</v>
      </c>
      <c r="G15" s="25">
        <f>Calculates!AS12</f>
        <v>0.26248799765759095</v>
      </c>
      <c r="H15" s="25">
        <f>Calculates!AR12</f>
        <v>0.16818085920204173</v>
      </c>
      <c r="I15" s="25">
        <f>Calculates!AT12</f>
        <v>1.0219317516440494</v>
      </c>
      <c r="J15">
        <f>(2*C15)/(((B15*0.514444)^2)*Input!$B$20*1.025)</f>
        <v>0.002339871840666325</v>
      </c>
    </row>
    <row r="16" spans="1:10" ht="12.75">
      <c r="A16">
        <f>(B16*0.514444)/(SQRT(9.81*Input!$B$6))</f>
        <v>0.14913171918002263</v>
      </c>
      <c r="B16" s="51">
        <f>Calculates!A13/0.514444444444</f>
        <v>12.999999998110589</v>
      </c>
      <c r="C16" s="52">
        <f>Calculates!AQ13/1000</f>
        <v>390.22026748127195</v>
      </c>
      <c r="D16" s="52">
        <f>Calculates!AU13/1000</f>
        <v>469.1167206214278</v>
      </c>
      <c r="E16" s="52">
        <f>Calculates!AZ13/1000</f>
        <v>2609.706432918203</v>
      </c>
      <c r="F16" s="52">
        <f>Calculates!BA13/1000</f>
        <v>3636.708825331085</v>
      </c>
      <c r="G16" s="53">
        <f>Calculates!AS13</f>
        <v>0.26189688105155007</v>
      </c>
      <c r="H16" s="53">
        <f>Calculates!AR13</f>
        <v>0.16818085920204173</v>
      </c>
      <c r="I16" s="53">
        <f>Calculates!AT13</f>
        <v>1.0209289345023853</v>
      </c>
      <c r="J16">
        <f>(2*C16)/(((B16*0.514444)^2)*Input!$B$20*1.025)</f>
        <v>0.002306282638727788</v>
      </c>
    </row>
    <row r="17" spans="1:10" ht="12.75">
      <c r="A17">
        <f>(B17*0.514444)/(SQRT(9.81*Input!$B$6))</f>
        <v>0.1628977240282327</v>
      </c>
      <c r="B17" s="21">
        <f>Calculates!A14/0.514444444444</f>
        <v>14.199999998007954</v>
      </c>
      <c r="C17" s="35">
        <f>Calculates!AQ14/1000</f>
        <v>460.7905284733832</v>
      </c>
      <c r="D17" s="35">
        <f>Calculates!AU14/1000</f>
        <v>553.9551879406743</v>
      </c>
      <c r="E17" s="35">
        <f>Calculates!AZ14/1000</f>
        <v>3366.126008970547</v>
      </c>
      <c r="F17" s="35">
        <f>Calculates!BA14/1000</f>
        <v>4699.253484421774</v>
      </c>
      <c r="G17" s="25">
        <f>Calculates!AS14</f>
        <v>0.2613677350517151</v>
      </c>
      <c r="H17" s="25">
        <f>Calculates!AR14</f>
        <v>0.16818085920204173</v>
      </c>
      <c r="I17" s="25">
        <f>Calculates!AT14</f>
        <v>1.0198237419841094</v>
      </c>
      <c r="J17">
        <f>(2*C17)/(((B17*0.514444)^2)*Input!$B$20*1.025)</f>
        <v>0.00228252880476095</v>
      </c>
    </row>
    <row r="18" spans="1:10" ht="12.75">
      <c r="A18">
        <f>(B18*0.514444)/(SQRT(9.81*Input!$B$6))</f>
        <v>0.17666372887644274</v>
      </c>
      <c r="B18" s="21">
        <f>Calculates!A15/0.514444444444</f>
        <v>15.39999999790532</v>
      </c>
      <c r="C18" s="35">
        <f>Calculates!AQ15/1000</f>
        <v>539.7285287174574</v>
      </c>
      <c r="D18" s="35">
        <f>Calculates!AU15/1000</f>
        <v>648.8532209053276</v>
      </c>
      <c r="E18" s="35">
        <f>Calculates!AZ15/1000</f>
        <v>4275.96928326049</v>
      </c>
      <c r="F18" s="35">
        <f>Calculates!BA15/1000</f>
        <v>5980.5472562118075</v>
      </c>
      <c r="G18" s="25">
        <f>Calculates!AS15</f>
        <v>0.26088954272820464</v>
      </c>
      <c r="H18" s="25">
        <f>Calculates!AR15</f>
        <v>0.16818085920204173</v>
      </c>
      <c r="I18" s="25">
        <f>Calculates!AT15</f>
        <v>1.0185875032902045</v>
      </c>
      <c r="J18">
        <f>(2*C18)/(((B18*0.514444)^2)*Input!$B$20*1.025)</f>
        <v>0.0022731251381036604</v>
      </c>
    </row>
    <row r="19" spans="1:10" ht="12.75">
      <c r="A19">
        <f>(B19*0.514444)/(SQRT(9.81*Input!$B$6))</f>
        <v>0.19042973372465283</v>
      </c>
      <c r="B19" s="21">
        <f>Calculates!A16/0.514444444444</f>
        <v>16.599999997802687</v>
      </c>
      <c r="C19" s="35">
        <f>Calculates!AQ16/1000</f>
        <v>627.6142630133198</v>
      </c>
      <c r="D19" s="35">
        <f>Calculates!AU16/1000</f>
        <v>754.508080219522</v>
      </c>
      <c r="E19" s="35">
        <f>Calculates!AZ16/1000</f>
        <v>5359.686335583442</v>
      </c>
      <c r="F19" s="35">
        <f>Calculates!BA16/1000</f>
        <v>7510.845884771831</v>
      </c>
      <c r="G19" s="25">
        <f>Calculates!AS16</f>
        <v>0.2604539261234784</v>
      </c>
      <c r="H19" s="25">
        <f>Calculates!AR16</f>
        <v>0.16818085920204173</v>
      </c>
      <c r="I19" s="25">
        <f>Calculates!AT16</f>
        <v>1.0172111351906472</v>
      </c>
      <c r="J19">
        <f>(2*C19)/(((B19*0.514444)^2)*Input!$B$20*1.025)</f>
        <v>0.0022749195381901463</v>
      </c>
    </row>
    <row r="20" spans="1:10" ht="12.75">
      <c r="A20">
        <f>(B20*0.514444)/(SQRT(9.81*Input!$B$6))</f>
        <v>0.20419573857286283</v>
      </c>
      <c r="B20" s="54">
        <f>Calculates!A17/0.514444444444</f>
        <v>17.79999999770005</v>
      </c>
      <c r="C20" s="55">
        <f>Calculates!AQ17/1000</f>
        <v>732.1684399789982</v>
      </c>
      <c r="D20" s="55">
        <f>Calculates!AU17/1000</f>
        <v>880.2014813900942</v>
      </c>
      <c r="E20" s="55">
        <f>Calculates!AZ17/1000</f>
        <v>6704.54775606448</v>
      </c>
      <c r="F20" s="55">
        <f>Calculates!BA17/1000</f>
        <v>9415.71243274699</v>
      </c>
      <c r="G20" s="56">
        <f>Calculates!AS17</f>
        <v>0.2600543740136492</v>
      </c>
      <c r="H20" s="56">
        <f>Calculates!AR17</f>
        <v>0.16818085920204173</v>
      </c>
      <c r="I20" s="56">
        <f>Calculates!AT17</f>
        <v>1.0155737245801084</v>
      </c>
      <c r="J20">
        <f>(2*C20)/(((B20*0.514444)^2)*Input!$B$20*1.025)</f>
        <v>0.0023081307779766994</v>
      </c>
    </row>
    <row r="21" spans="1:10" ht="12.75">
      <c r="A21">
        <f>(B21*0.514444)/(SQRT(9.81*Input!$B$6))</f>
        <v>0.21796174342107286</v>
      </c>
      <c r="B21" s="21">
        <f>Calculates!A18/0.514444444444</f>
        <v>18.999999997597413</v>
      </c>
      <c r="C21" s="35">
        <f>Calculates!AQ18/1000</f>
        <v>842.9641972744455</v>
      </c>
      <c r="D21" s="35">
        <f>Calculates!AU18/1000</f>
        <v>1013.3984131043147</v>
      </c>
      <c r="E21" s="35">
        <f>Calculates!AZ18/1000</f>
        <v>8239.506713865754</v>
      </c>
      <c r="F21" s="35">
        <f>Calculates!BA18/1000</f>
        <v>11596.95230435395</v>
      </c>
      <c r="G21" s="25">
        <f>Calculates!AS18</f>
        <v>0.25968573129214206</v>
      </c>
      <c r="H21" s="25">
        <f>Calculates!AR18</f>
        <v>0.16818085920204173</v>
      </c>
      <c r="I21" s="25">
        <f>Calculates!AT18</f>
        <v>1.013838565317578</v>
      </c>
      <c r="J21">
        <f>(2*C21)/(((B21*0.514444)^2)*Input!$B$20*1.025)</f>
        <v>0.0023323372023074896</v>
      </c>
    </row>
    <row r="22" spans="1:40" ht="12.75">
      <c r="A22">
        <f>(B22*0.514444)/(SQRT(9.81*Input!$B$6))</f>
        <v>0.23172774826928294</v>
      </c>
      <c r="B22" s="21">
        <f>Calculates!A19/0.514444444444</f>
        <v>20.19999999749478</v>
      </c>
      <c r="C22" s="35">
        <f>Calculates!AQ19/1000</f>
        <v>969.109638245374</v>
      </c>
      <c r="D22" s="35">
        <f>Calculates!AU19/1000</f>
        <v>1165.0484951761434</v>
      </c>
      <c r="E22" s="35">
        <f>Calculates!AZ19/1000</f>
        <v>10070.772001690852</v>
      </c>
      <c r="F22" s="35">
        <f>Calculates!BA19/1000</f>
        <v>14208.65666904683</v>
      </c>
      <c r="G22" s="25">
        <f>Calculates!AS19</f>
        <v>0.2593438507447987</v>
      </c>
      <c r="H22" s="25">
        <f>Calculates!AR19</f>
        <v>0.16818085920204173</v>
      </c>
      <c r="I22" s="25">
        <f>Calculates!AT19</f>
        <v>1.011863016472842</v>
      </c>
      <c r="J22">
        <f>(2*C22)/(((B22*0.514444)^2)*Input!$B$20*1.025)</f>
        <v>0.002372245251578446</v>
      </c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</row>
    <row r="23" spans="1:40" ht="12.75">
      <c r="A23">
        <f>(B23*0.514444)/(SQRT(9.81*Input!$B$6))</f>
        <v>0.24549375311749297</v>
      </c>
      <c r="B23" s="21">
        <f>Calculates!A20/0.514444444444</f>
        <v>21.399999997392143</v>
      </c>
      <c r="C23" s="35">
        <f>Calculates!AQ20/1000</f>
        <v>1139.4367878226437</v>
      </c>
      <c r="D23" s="35">
        <f>Calculates!AU20/1000</f>
        <v>1369.8131383819684</v>
      </c>
      <c r="E23" s="35">
        <f>Calculates!AZ20/1000</f>
        <v>12544.186199687516</v>
      </c>
      <c r="F23" s="35">
        <f>Calculates!BA20/1000</f>
        <v>17752.759313262428</v>
      </c>
      <c r="G23" s="25">
        <f>Calculates!AS20</f>
        <v>0.2590253491791291</v>
      </c>
      <c r="H23" s="25">
        <f>Calculates!AR20</f>
        <v>0.16818085920204173</v>
      </c>
      <c r="I23" s="25">
        <f>Calculates!AT20</f>
        <v>1.0091955431104702</v>
      </c>
      <c r="J23">
        <f>(2*C23)/(((B23*0.514444)^2)*Input!$B$20*1.025)</f>
        <v>0.002485147110654201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</row>
    <row r="24" spans="1:10" ht="12.75">
      <c r="A24">
        <f>(B24*0.514444)/(SQRT(9.81*Input!$B$6))</f>
        <v>0.259259757965703</v>
      </c>
      <c r="B24" s="21">
        <f>Calculates!A21/0.514444444444</f>
        <v>22.599999997289505</v>
      </c>
      <c r="C24" s="35">
        <f>Calculates!AQ21/1000</f>
        <v>1353.6903736630761</v>
      </c>
      <c r="D24" s="35">
        <f>Calculates!AU21/1000</f>
        <v>1627.385458291439</v>
      </c>
      <c r="E24" s="35">
        <f>Calculates!AZ21/1000</f>
        <v>15738.605922471814</v>
      </c>
      <c r="F24" s="35">
        <f>Calculates!BA21/1000</f>
        <v>22356.84786790993</v>
      </c>
      <c r="G24" s="25">
        <f>Calculates!AS21</f>
        <v>0.25872743264786485</v>
      </c>
      <c r="H24" s="25">
        <f>Calculates!AR21</f>
        <v>0.16818085920204173</v>
      </c>
      <c r="I24" s="25">
        <f>Calculates!AT21</f>
        <v>1.0058401430204646</v>
      </c>
      <c r="J24">
        <f>(2*C24)/(((B24*0.514444)^2)*Input!$B$20*1.025)</f>
        <v>0.002647231209673929</v>
      </c>
    </row>
    <row r="25" spans="1:10" ht="12.75">
      <c r="A25">
        <f>(B25*0.514444)/(SQRT(9.81*Input!$B$6))</f>
        <v>0.27302576281391305</v>
      </c>
      <c r="B25" s="21">
        <f>Calculates!A22/0.514444444444</f>
        <v>23.79999999718687</v>
      </c>
      <c r="C25" s="35">
        <f>Calculates!AQ22/1000</f>
        <v>1578.8380958680027</v>
      </c>
      <c r="D25" s="35">
        <f>Calculates!AU22/1000</f>
        <v>1898.0545390593372</v>
      </c>
      <c r="E25" s="35">
        <f>Calculates!AZ22/1000</f>
        <v>19330.942790596033</v>
      </c>
      <c r="F25" s="35">
        <f>Calculates!BA22/1000</f>
        <v>27566.79487384501</v>
      </c>
      <c r="G25" s="25">
        <f>Calculates!AS22</f>
        <v>0.2584477686288306</v>
      </c>
      <c r="H25" s="25">
        <f>Calculates!AR22</f>
        <v>0.16818085920204173</v>
      </c>
      <c r="I25" s="25">
        <f>Calculates!AT22</f>
        <v>1.0023141311481891</v>
      </c>
      <c r="J25">
        <f>(2*C25)/(((B25*0.514444)^2)*Input!$B$20*1.025)</f>
        <v>0.002784024769554999</v>
      </c>
    </row>
    <row r="26" spans="1:10" ht="12.75">
      <c r="A26">
        <f>(B26*0.514444)/(SQRT(9.81*Input!$B$6))</f>
        <v>0.28679176766212305</v>
      </c>
      <c r="B26" s="48">
        <f>Calculates!A23/0.514444444444</f>
        <v>24.999999997084235</v>
      </c>
      <c r="C26" s="49">
        <f>Calculates!AQ23/1000</f>
        <v>1784.9841581229566</v>
      </c>
      <c r="D26" s="49">
        <f>Calculates!AU23/1000</f>
        <v>2145.8801205399454</v>
      </c>
      <c r="E26" s="49">
        <f>Calculates!AZ23/1000</f>
        <v>22956.879586495157</v>
      </c>
      <c r="F26" s="49">
        <f>Calculates!BA23/1000</f>
        <v>32854.99657478366</v>
      </c>
      <c r="G26" s="50">
        <f>Calculates!AS23</f>
        <v>0.2581843908563441</v>
      </c>
      <c r="H26" s="50">
        <f>Calculates!AR23</f>
        <v>0.16818085920204173</v>
      </c>
      <c r="I26" s="50">
        <f>Calculates!AT23</f>
        <v>0.9990857020270087</v>
      </c>
      <c r="J26">
        <f>(2*C26)/(((B26*0.514444)^2)*Input!$B$20*1.025)</f>
        <v>0.0028526189358825736</v>
      </c>
    </row>
    <row r="89" spans="21:31" ht="12.75"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</row>
    <row r="90" spans="21:31" ht="12.75"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</row>
    <row r="97" spans="24:37" ht="12.75"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</row>
    <row r="98" spans="24:37" ht="12.75"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</row>
  </sheetData>
  <sheetProtection/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PENO-DENO-UFRJ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 de Rede</dc:creator>
  <cp:keywords/>
  <dc:description/>
  <cp:lastModifiedBy>Abdelghafor Zeiad</cp:lastModifiedBy>
  <cp:lastPrinted>2002-03-30T11:03:17Z</cp:lastPrinted>
  <dcterms:created xsi:type="dcterms:W3CDTF">2000-04-14T12:30:34Z</dcterms:created>
  <dcterms:modified xsi:type="dcterms:W3CDTF">2020-08-31T23:26:27Z</dcterms:modified>
  <cp:category/>
  <cp:version/>
  <cp:contentType/>
  <cp:contentStatus/>
</cp:coreProperties>
</file>