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D:\SUMO\SUMO_SourceCode\MODEL\Sumo\trunk\Process code\Tools\"/>
    </mc:Choice>
  </mc:AlternateContent>
  <bookViews>
    <workbookView xWindow="0" yWindow="0" windowWidth="23250" windowHeight="8925" tabRatio="702"/>
  </bookViews>
  <sheets>
    <sheet name="Help" sheetId="11" r:id="rId1"/>
    <sheet name="Data" sheetId="9" r:id="rId2"/>
    <sheet name="Check fractions" sheetId="4" r:id="rId3"/>
    <sheet name="Sumo forms" sheetId="12" r:id="rId4"/>
    <sheet name="Balances" sheetId="6" r:id="rId5"/>
    <sheet name="Diurnal flow" sheetId="8" r:id="rId6"/>
    <sheet name="Calculations" sheetId="10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6" l="1"/>
  <c r="G19" i="6"/>
  <c r="G18" i="6"/>
  <c r="G9" i="6"/>
  <c r="G8" i="6"/>
  <c r="G7" i="6"/>
  <c r="G6" i="6"/>
  <c r="G5" i="6"/>
  <c r="G4" i="6"/>
  <c r="C5" i="6"/>
  <c r="D5" i="6" s="1"/>
  <c r="G17" i="9" l="1"/>
  <c r="G16" i="9"/>
  <c r="G19" i="9"/>
  <c r="G5" i="9"/>
  <c r="G22" i="9"/>
  <c r="G15" i="9" l="1"/>
  <c r="D5" i="4" l="1"/>
  <c r="C20" i="12"/>
  <c r="C30" i="12"/>
  <c r="C29" i="12"/>
  <c r="C28" i="12"/>
  <c r="C27" i="12"/>
  <c r="C25" i="12"/>
  <c r="G4" i="9"/>
  <c r="G24" i="9"/>
  <c r="C26" i="12" s="1"/>
  <c r="G23" i="9"/>
  <c r="C18" i="12"/>
  <c r="C17" i="12"/>
  <c r="C24" i="6"/>
  <c r="C15" i="6"/>
  <c r="C16" i="6"/>
  <c r="C17" i="6"/>
  <c r="C18" i="6"/>
  <c r="C19" i="6"/>
  <c r="C20" i="6"/>
  <c r="G23" i="6"/>
  <c r="G11" i="6"/>
  <c r="C22" i="6"/>
  <c r="D20" i="6" s="1"/>
  <c r="G15" i="6"/>
  <c r="G3" i="6"/>
  <c r="H3" i="6" s="1"/>
  <c r="C24" i="12"/>
  <c r="C23" i="12"/>
  <c r="C22" i="12"/>
  <c r="C21" i="12"/>
  <c r="C36" i="12"/>
  <c r="C37" i="12"/>
  <c r="C38" i="12"/>
  <c r="C35" i="12"/>
  <c r="G6" i="9"/>
  <c r="G27" i="9" s="1"/>
  <c r="C34" i="12"/>
  <c r="C3" i="8"/>
  <c r="B3" i="8"/>
  <c r="G30" i="8" s="1"/>
  <c r="C14" i="6"/>
  <c r="D3" i="8"/>
  <c r="M32" i="8" s="1"/>
  <c r="G14" i="9"/>
  <c r="C11" i="12"/>
  <c r="G8" i="4"/>
  <c r="G7" i="4"/>
  <c r="G6" i="4"/>
  <c r="G5" i="4"/>
  <c r="G4" i="4"/>
  <c r="G3" i="4"/>
  <c r="C10" i="6" s="1"/>
  <c r="C12" i="12"/>
  <c r="C7" i="12"/>
  <c r="C6" i="12"/>
  <c r="C5" i="12"/>
  <c r="C4" i="12"/>
  <c r="G18" i="9"/>
  <c r="G10" i="9"/>
  <c r="G19" i="4"/>
  <c r="D33" i="8"/>
  <c r="M33" i="8"/>
  <c r="C33" i="8"/>
  <c r="J33" i="8"/>
  <c r="D32" i="8"/>
  <c r="C32" i="8"/>
  <c r="J32" i="8"/>
  <c r="D31" i="8"/>
  <c r="C31" i="8"/>
  <c r="J31" i="8"/>
  <c r="D30" i="8"/>
  <c r="C30" i="8"/>
  <c r="J30" i="8"/>
  <c r="D29" i="8"/>
  <c r="M29" i="8"/>
  <c r="C29" i="8"/>
  <c r="J29" i="8"/>
  <c r="J28" i="8"/>
  <c r="D28" i="8"/>
  <c r="M28" i="8"/>
  <c r="C28" i="8"/>
  <c r="D27" i="8"/>
  <c r="C27" i="8"/>
  <c r="J27" i="8"/>
  <c r="D26" i="8"/>
  <c r="M26" i="8"/>
  <c r="C26" i="8"/>
  <c r="J26" i="8"/>
  <c r="D25" i="8"/>
  <c r="M25" i="8"/>
  <c r="C25" i="8"/>
  <c r="J25" i="8"/>
  <c r="D24" i="8"/>
  <c r="C24" i="8"/>
  <c r="J24" i="8"/>
  <c r="D23" i="8"/>
  <c r="M23" i="8"/>
  <c r="C23" i="8"/>
  <c r="J23" i="8"/>
  <c r="D22" i="8"/>
  <c r="C22" i="8"/>
  <c r="J22" i="8"/>
  <c r="D21" i="8"/>
  <c r="M21" i="8"/>
  <c r="C21" i="8"/>
  <c r="J21" i="8"/>
  <c r="D20" i="8"/>
  <c r="C20" i="8"/>
  <c r="J20" i="8"/>
  <c r="G19" i="8"/>
  <c r="D19" i="8"/>
  <c r="C19" i="8"/>
  <c r="J19" i="8"/>
  <c r="D18" i="8"/>
  <c r="M18" i="8"/>
  <c r="C18" i="8"/>
  <c r="J18" i="8"/>
  <c r="D17" i="8"/>
  <c r="M17" i="8"/>
  <c r="C17" i="8"/>
  <c r="J17" i="8"/>
  <c r="D16" i="8"/>
  <c r="C16" i="8"/>
  <c r="D15" i="8"/>
  <c r="C15" i="8"/>
  <c r="J15" i="8"/>
  <c r="D14" i="8"/>
  <c r="C14" i="8"/>
  <c r="J14" i="8"/>
  <c r="D13" i="8"/>
  <c r="M13" i="8"/>
  <c r="C13" i="8"/>
  <c r="J13" i="8"/>
  <c r="D12" i="8"/>
  <c r="M12" i="8"/>
  <c r="C12" i="8"/>
  <c r="J12" i="8"/>
  <c r="J11" i="8"/>
  <c r="G11" i="8"/>
  <c r="D11" i="8"/>
  <c r="C11" i="8"/>
  <c r="D10" i="8"/>
  <c r="C10" i="8"/>
  <c r="J10" i="8"/>
  <c r="D3" i="4"/>
  <c r="J16" i="8"/>
  <c r="M11" i="8"/>
  <c r="B6" i="8"/>
  <c r="D6" i="8"/>
  <c r="J6" i="8"/>
  <c r="C6" i="8"/>
  <c r="C16" i="12" l="1"/>
  <c r="H15" i="6"/>
  <c r="M31" i="8"/>
  <c r="H4" i="4"/>
  <c r="C3" i="6" s="1"/>
  <c r="D3" i="6" s="1"/>
  <c r="G15" i="8"/>
  <c r="G21" i="8"/>
  <c r="G23" i="8"/>
  <c r="G27" i="8"/>
  <c r="D18" i="6"/>
  <c r="D17" i="6"/>
  <c r="D15" i="6"/>
  <c r="G29" i="8"/>
  <c r="G31" i="8"/>
  <c r="G20" i="8"/>
  <c r="G16" i="8"/>
  <c r="D16" i="6"/>
  <c r="G10" i="8"/>
  <c r="G14" i="8"/>
  <c r="G24" i="8"/>
  <c r="G28" i="8"/>
  <c r="D14" i="6"/>
  <c r="D19" i="6"/>
  <c r="G32" i="8"/>
  <c r="C11" i="6"/>
  <c r="D11" i="6" s="1"/>
  <c r="D10" i="6"/>
  <c r="C9" i="6"/>
  <c r="M10" i="8"/>
  <c r="G13" i="8"/>
  <c r="M15" i="8"/>
  <c r="G18" i="8"/>
  <c r="M20" i="8"/>
  <c r="G26" i="8"/>
  <c r="M22" i="8"/>
  <c r="G12" i="8"/>
  <c r="M14" i="8"/>
  <c r="G17" i="8"/>
  <c r="M19" i="8"/>
  <c r="G25" i="8"/>
  <c r="M27" i="8"/>
  <c r="G33" i="8"/>
  <c r="M30" i="8"/>
  <c r="M16" i="8"/>
  <c r="G22" i="8"/>
  <c r="M24" i="8"/>
  <c r="H3" i="4"/>
  <c r="I3" i="4" s="1"/>
  <c r="D6" i="4"/>
  <c r="C7" i="6" s="1"/>
  <c r="C19" i="12"/>
  <c r="I4" i="4"/>
  <c r="D4" i="4"/>
  <c r="H5" i="4" s="1"/>
  <c r="I5" i="4" s="1"/>
  <c r="G16" i="6" l="1"/>
  <c r="H16" i="6" s="1"/>
  <c r="G6" i="8"/>
  <c r="H4" i="6"/>
  <c r="M6" i="8"/>
  <c r="C6" i="6"/>
  <c r="H8" i="4" s="1"/>
  <c r="H7" i="4" s="1"/>
  <c r="D9" i="6"/>
  <c r="H9" i="6"/>
  <c r="G21" i="6"/>
  <c r="H21" i="6" s="1"/>
  <c r="C8" i="6"/>
  <c r="D8" i="6" s="1"/>
  <c r="H6" i="6"/>
  <c r="D7" i="6"/>
  <c r="H19" i="6"/>
  <c r="H7" i="6"/>
  <c r="C4" i="6"/>
  <c r="F3" i="10" s="1"/>
  <c r="H18" i="6" l="1"/>
  <c r="D6" i="6"/>
  <c r="G12" i="4"/>
  <c r="H19" i="4"/>
  <c r="I19" i="4" s="1"/>
  <c r="H8" i="6"/>
  <c r="H20" i="6"/>
  <c r="D4" i="6"/>
  <c r="G17" i="6"/>
  <c r="H17" i="6" s="1"/>
  <c r="H5" i="6"/>
  <c r="E3" i="10"/>
  <c r="F6" i="10"/>
  <c r="F7" i="10" s="1"/>
  <c r="D22" i="6" l="1"/>
  <c r="I8" i="4"/>
  <c r="I7" i="4"/>
  <c r="G22" i="6"/>
  <c r="H22" i="6" s="1"/>
  <c r="H23" i="6" s="1"/>
  <c r="G10" i="6"/>
  <c r="G13" i="4" s="1"/>
  <c r="D3" i="10"/>
  <c r="D6" i="10" s="1"/>
  <c r="D7" i="10" s="1"/>
  <c r="H6" i="4" s="1"/>
  <c r="I6" i="4" s="1"/>
  <c r="E6" i="10"/>
  <c r="E7" i="10" s="1"/>
  <c r="G14" i="4" l="1"/>
  <c r="H10" i="6"/>
  <c r="H11" i="6" s="1"/>
</calcChain>
</file>

<file path=xl/comments1.xml><?xml version="1.0" encoding="utf-8"?>
<comments xmlns="http://schemas.openxmlformats.org/spreadsheetml/2006/main">
  <authors>
    <author>Imre Takacs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Enter measured data or estimate missing data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85 - 90% of TSS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If COD is not available, use 
2.2*cBOD5 in US
2.5*cBOD5 in Europe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40% of COD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60% of filtered COD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From processes where SRT&gt;3days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If ATU or TCMP was used to inhibit nitrification, the actual cBOD may be 15-20% higher than measured.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</rPr>
          <t>Imre Takacs:</t>
        </r>
        <r>
          <rPr>
            <sz val="9"/>
            <color indexed="81"/>
            <rFont val="Tahoma"/>
            <family val="2"/>
          </rPr>
          <t xml:space="preserve">
Important for bio-P plants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Usually negligible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Only if advanced pH modeling is considered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Only for bio-P plants</t>
        </r>
      </text>
    </comment>
  </commentList>
</comments>
</file>

<file path=xl/comments2.xml><?xml version="1.0" encoding="utf-8"?>
<comments xmlns="http://schemas.openxmlformats.org/spreadsheetml/2006/main">
  <authors>
    <author>Imre Takacs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Dynamita:</t>
        </r>
        <r>
          <rPr>
            <sz val="9"/>
            <color indexed="81"/>
            <rFont val="Tahoma"/>
            <family val="2"/>
          </rPr>
          <t xml:space="preserve">
must be 1.0000</t>
        </r>
      </text>
    </comment>
  </commentList>
</comments>
</file>

<file path=xl/sharedStrings.xml><?xml version="1.0" encoding="utf-8"?>
<sst xmlns="http://schemas.openxmlformats.org/spreadsheetml/2006/main" count="528" uniqueCount="300">
  <si>
    <t>Name</t>
  </si>
  <si>
    <t>Unit</t>
  </si>
  <si>
    <t>VFAs</t>
  </si>
  <si>
    <t>Readily biodegradable substrate (non-VFA)</t>
  </si>
  <si>
    <t>Methanol</t>
  </si>
  <si>
    <t>Colloidal biodegradable substrate</t>
  </si>
  <si>
    <t>Slowly biodegradable substrate</t>
  </si>
  <si>
    <t>Soluble unbiodegradable organics</t>
  </si>
  <si>
    <t>Colloidal unbiodegradable organics</t>
  </si>
  <si>
    <t>Particulate unbiodegradable organics</t>
  </si>
  <si>
    <t>Stored PHA</t>
  </si>
  <si>
    <t>Ordinary heterotrophs</t>
  </si>
  <si>
    <t>Phosphorus accumulating organisms</t>
  </si>
  <si>
    <t>Anoxic methanol utilizers</t>
  </si>
  <si>
    <t>Hydrogenotrophic methanogens</t>
  </si>
  <si>
    <t>Releasable stored polyphosphate</t>
  </si>
  <si>
    <t>Non-releasable stored polyphosphate</t>
  </si>
  <si>
    <t>Dissolved methane</t>
  </si>
  <si>
    <t>Dissolved hydrogen</t>
  </si>
  <si>
    <t>Magnesium</t>
  </si>
  <si>
    <t>Inactive, used hydrous ferric oxide with low surface area</t>
  </si>
  <si>
    <t>Inactive, used hydrous ferric oxide with high surface area</t>
  </si>
  <si>
    <t>Aged HFO from other four hydrous ferric oxide states</t>
  </si>
  <si>
    <t>Struvite</t>
  </si>
  <si>
    <t>Influent components</t>
  </si>
  <si>
    <t>Default</t>
  </si>
  <si>
    <t>Q</t>
  </si>
  <si>
    <t>Flow rate</t>
  </si>
  <si>
    <t>Total COD</t>
  </si>
  <si>
    <t>TKN</t>
  </si>
  <si>
    <t>Total phosphorus</t>
  </si>
  <si>
    <t>Alkalinity</t>
  </si>
  <si>
    <t>pH</t>
  </si>
  <si>
    <t>-</t>
  </si>
  <si>
    <t>Influent fractions</t>
  </si>
  <si>
    <t>Filtered COD fraction (incl. colloids, VFA)</t>
  </si>
  <si>
    <t>Filtered flocculated COD fraction (incl. VFA)</t>
  </si>
  <si>
    <t>VFA fraction of filtered COD</t>
  </si>
  <si>
    <t>Unbiodegradable filtered COD fraction</t>
  </si>
  <si>
    <t>Influent particulate inert COD fraction</t>
  </si>
  <si>
    <t>Influent heterotrophic fraction of COD</t>
  </si>
  <si>
    <t>Ammonia fraction of TKN</t>
  </si>
  <si>
    <t>Phosphate fraction of TP</t>
  </si>
  <si>
    <t>Influent nitrifying organisms</t>
  </si>
  <si>
    <t>Acidoclastic methanogens</t>
  </si>
  <si>
    <r>
      <t>Influent NO</t>
    </r>
    <r>
      <rPr>
        <vertAlign val="subscript"/>
        <sz val="11"/>
        <rFont val="Calibri"/>
        <family val="2"/>
        <scheme val="minor"/>
      </rPr>
      <t>X</t>
    </r>
  </si>
  <si>
    <t>Dissolved nitrogen</t>
  </si>
  <si>
    <t>Hourly diurnal flow data generator</t>
  </si>
  <si>
    <t>HELP</t>
  </si>
  <si>
    <t>Average Q m3/d</t>
  </si>
  <si>
    <t>Influent flow for:</t>
  </si>
  <si>
    <t>Damping factor</t>
  </si>
  <si>
    <t xml:space="preserve">     small plant</t>
  </si>
  <si>
    <t xml:space="preserve">     medium plant</t>
  </si>
  <si>
    <t xml:space="preserve">     large plant</t>
  </si>
  <si>
    <t>Modify damping factor if needed (higher damping = bigger plant, less variation)</t>
  </si>
  <si>
    <t>Average check</t>
  </si>
  <si>
    <t>time</t>
  </si>
  <si>
    <t>small</t>
  </si>
  <si>
    <t>medium</t>
  </si>
  <si>
    <t>large</t>
  </si>
  <si>
    <t>Flow</t>
  </si>
  <si>
    <t>Value</t>
  </si>
  <si>
    <t>COD</t>
  </si>
  <si>
    <t>TP</t>
  </si>
  <si>
    <t>TSS</t>
  </si>
  <si>
    <t>VSS</t>
  </si>
  <si>
    <t>mgP/L</t>
  </si>
  <si>
    <t>mg/L</t>
  </si>
  <si>
    <t>Key measurements</t>
  </si>
  <si>
    <t>VFA</t>
  </si>
  <si>
    <t>Ammonia</t>
  </si>
  <si>
    <t>Phosphate</t>
  </si>
  <si>
    <t>COD - BOD</t>
  </si>
  <si>
    <t>meq/L</t>
  </si>
  <si>
    <t>Filtered COD fraction</t>
  </si>
  <si>
    <t>Other influent measurements</t>
  </si>
  <si>
    <t>Nitrite+nitrate</t>
  </si>
  <si>
    <t>Influent filtered flocculated COD</t>
  </si>
  <si>
    <t>Influent filtered COD</t>
  </si>
  <si>
    <t>Influent COD</t>
  </si>
  <si>
    <r>
      <rPr>
        <b/>
        <i/>
        <sz val="11"/>
        <rFont val="Calibri"/>
        <family val="2"/>
        <scheme val="minor"/>
      </rPr>
      <t xml:space="preserve">Effluent </t>
    </r>
    <r>
      <rPr>
        <sz val="11"/>
        <rFont val="Calibri"/>
        <family val="2"/>
        <scheme val="minor"/>
      </rPr>
      <t>filtered COD (inert)</t>
    </r>
  </si>
  <si>
    <t>COD/BOD ratio</t>
  </si>
  <si>
    <t>Total Sulfur</t>
  </si>
  <si>
    <t>mgS/L</t>
  </si>
  <si>
    <t>Data</t>
  </si>
  <si>
    <t>Tabs</t>
  </si>
  <si>
    <t>Use</t>
  </si>
  <si>
    <t>Create diurnal influent</t>
  </si>
  <si>
    <t>Balances</t>
  </si>
  <si>
    <t>Blue</t>
  </si>
  <si>
    <t>Green</t>
  </si>
  <si>
    <t>Input data</t>
  </si>
  <si>
    <t>US Unit</t>
  </si>
  <si>
    <t>SI unit</t>
  </si>
  <si>
    <t>mg COD/L</t>
  </si>
  <si>
    <t>MGD</t>
  </si>
  <si>
    <t>Calculated from estimated fractions</t>
  </si>
  <si>
    <t>Measured data</t>
  </si>
  <si>
    <t>Filtered flocculated COD fraction</t>
  </si>
  <si>
    <t>Calculated influent filtered COD</t>
  </si>
  <si>
    <t>Calculated Influent filtered flocculated COD</t>
  </si>
  <si>
    <t>Calculated influent BOD5</t>
  </si>
  <si>
    <t>Alkalinity in molar units</t>
  </si>
  <si>
    <t>Biodegradable COD</t>
  </si>
  <si>
    <t>Total</t>
  </si>
  <si>
    <t>Estimate key organic fractions and check if your estimated BOD and COD matches the measured data</t>
  </si>
  <si>
    <t>Copy results to Sumo (Sumo1 Concentration based influent, Input Setup tab)</t>
  </si>
  <si>
    <t>Color code</t>
  </si>
  <si>
    <t>Meaning</t>
  </si>
  <si>
    <t>Black</t>
  </si>
  <si>
    <t>Calculation result, cannot be edited</t>
  </si>
  <si>
    <t>Intermediate result, cannot be edited</t>
  </si>
  <si>
    <t>Objective</t>
  </si>
  <si>
    <t>This tool helps to convert measured influent data into Sumo1 model input fractions</t>
  </si>
  <si>
    <t>Unbiodegradable fraction of influent colloids</t>
  </si>
  <si>
    <t>Enter measured data - estimate missing data. The tool will help to refine your estimates.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</si>
  <si>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VFA</t>
    </r>
  </si>
  <si>
    <r>
      <t>S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</si>
  <si>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MEOL</t>
    </r>
  </si>
  <si>
    <r>
      <t>C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</si>
  <si>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B</t>
    </r>
  </si>
  <si>
    <r>
      <t>S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</si>
  <si>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C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</si>
  <si>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U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</si>
  <si>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PHA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</si>
  <si>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E</t>
    </r>
  </si>
  <si>
    <t>Endogenous decay products</t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</si>
  <si>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OHO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</si>
  <si>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PAO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</si>
  <si>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MEOLO</t>
    </r>
  </si>
  <si>
    <r>
      <t>X</t>
    </r>
    <r>
      <rPr>
        <b/>
        <vertAlign val="subscript"/>
        <sz val="11"/>
        <color indexed="8"/>
        <rFont val="Calibri"/>
        <family val="2"/>
        <scheme val="minor"/>
      </rPr>
      <t>NITO</t>
    </r>
  </si>
  <si>
    <t>Aerobic nitrifying organisms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</si>
  <si>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AMETO</t>
    </r>
  </si>
  <si>
    <t>Acidoclastic methanogens (VFA)</t>
  </si>
  <si>
    <r>
      <t>X</t>
    </r>
    <r>
      <rPr>
        <b/>
        <vertAlign val="subscript"/>
        <sz val="11"/>
        <color theme="1"/>
        <rFont val="Calibri"/>
        <family val="2"/>
        <scheme val="minor"/>
      </rPr>
      <t>HMETO</t>
    </r>
  </si>
  <si>
    <t>Filtered</t>
  </si>
  <si>
    <t>Filtered flocculated</t>
  </si>
  <si>
    <t>cBOD estimation</t>
  </si>
  <si>
    <t xml:space="preserve">- </t>
  </si>
  <si>
    <t>Sumo1 components considered for COD and BOD calculations</t>
  </si>
  <si>
    <t>Key components</t>
  </si>
  <si>
    <t>Colloidal slowly biodegradable substrate</t>
  </si>
  <si>
    <t>Particulate slowly biodegradable substrate</t>
  </si>
  <si>
    <t>%</t>
  </si>
  <si>
    <t>Other components</t>
  </si>
  <si>
    <t>% of total</t>
  </si>
  <si>
    <t>Check fractions</t>
  </si>
  <si>
    <t>COD/BOD/TSS/VSS match</t>
  </si>
  <si>
    <t>Error tolerances</t>
  </si>
  <si>
    <t>BOD</t>
  </si>
  <si>
    <t>TSS&amp;VSS</t>
  </si>
  <si>
    <t>no match</t>
  </si>
  <si>
    <t>good match</t>
  </si>
  <si>
    <t>Verdict</t>
  </si>
  <si>
    <t>Version</t>
  </si>
  <si>
    <t>3 - 8</t>
  </si>
  <si>
    <t>Calcium</t>
  </si>
  <si>
    <t>To be estimated</t>
  </si>
  <si>
    <t>Usual value in US</t>
  </si>
  <si>
    <t>Influent endogenous COD / OHO COD ratio</t>
  </si>
  <si>
    <t>Influent fractions from data</t>
  </si>
  <si>
    <t>Influent fractions to estimate</t>
  </si>
  <si>
    <t>Particulate COD</t>
  </si>
  <si>
    <t>Key indicators for sanity check</t>
  </si>
  <si>
    <t>Particulate COD/VSS</t>
  </si>
  <si>
    <r>
      <t>MGD or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/d</t>
    </r>
  </si>
  <si>
    <t>NH4 fraction of TKN</t>
  </si>
  <si>
    <t>PO4 fraction of TP</t>
  </si>
  <si>
    <t>Grey</t>
  </si>
  <si>
    <t>Parameter under development, not used</t>
  </si>
  <si>
    <t>Unbiodegradable fraction of filtered COD</t>
  </si>
  <si>
    <t>Overall COD/VSS ratio</t>
  </si>
  <si>
    <t>Measured</t>
  </si>
  <si>
    <t>Calculated from weighted average</t>
  </si>
  <si>
    <t>Size factor</t>
  </si>
  <si>
    <t>For one day simulation, copy-paste ONE of the blue highlighted areas to Sumo influent dynamics</t>
  </si>
  <si>
    <t>For longer diurnal simulation, use 24 hour cycletime in Sumo Input Setup/Dynamics</t>
  </si>
  <si>
    <t>Diurnal flow</t>
  </si>
  <si>
    <t>Weighted average COD/VSS</t>
  </si>
  <si>
    <r>
      <t>Influent cBOD</t>
    </r>
    <r>
      <rPr>
        <vertAlign val="subscript"/>
        <sz val="11"/>
        <rFont val="Calibri"/>
        <family val="2"/>
        <scheme val="minor"/>
      </rPr>
      <t>5</t>
    </r>
  </si>
  <si>
    <t>mg COD/mg VSS</t>
  </si>
  <si>
    <r>
      <t>Other salts expressed as 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 and NaCl</t>
    </r>
  </si>
  <si>
    <t xml:space="preserve">Inorganic (fixed) suspended solids </t>
  </si>
  <si>
    <t>mg TSS/L</t>
  </si>
  <si>
    <t>Y (BOD yield)</t>
  </si>
  <si>
    <r>
      <t>BOD</t>
    </r>
    <r>
      <rPr>
        <vertAlign val="subscript"/>
        <sz val="11"/>
        <color indexed="8"/>
        <rFont val="Calibri"/>
        <family val="2"/>
      </rPr>
      <t>5</t>
    </r>
    <r>
      <rPr>
        <sz val="11"/>
        <color indexed="8"/>
        <rFont val="Calibri"/>
        <family val="2"/>
      </rPr>
      <t>/BOD</t>
    </r>
    <r>
      <rPr>
        <vertAlign val="subscript"/>
        <sz val="11"/>
        <color indexed="8"/>
        <rFont val="Calibri"/>
        <family val="2"/>
      </rPr>
      <t>20</t>
    </r>
  </si>
  <si>
    <r>
      <t>BOD</t>
    </r>
    <r>
      <rPr>
        <vertAlign val="subscript"/>
        <sz val="11"/>
        <color indexed="8"/>
        <rFont val="Calibri"/>
        <family val="2"/>
      </rPr>
      <t>20</t>
    </r>
    <r>
      <rPr>
        <sz val="11"/>
        <color indexed="8"/>
        <rFont val="Calibri"/>
        <family val="2"/>
      </rPr>
      <t xml:space="preserve"> (Ultimate BOD)</t>
    </r>
  </si>
  <si>
    <r>
      <t>cBOD</t>
    </r>
    <r>
      <rPr>
        <vertAlign val="subscript"/>
        <sz val="11"/>
        <color indexed="8"/>
        <rFont val="Calibri"/>
        <family val="2"/>
      </rPr>
      <t>5</t>
    </r>
  </si>
  <si>
    <r>
      <t>g TSS/m</t>
    </r>
    <r>
      <rPr>
        <vertAlign val="superscript"/>
        <sz val="11"/>
        <rFont val="Calibri"/>
        <family val="2"/>
        <scheme val="minor"/>
      </rPr>
      <t>3</t>
    </r>
  </si>
  <si>
    <t>VSS fraction of TSS</t>
  </si>
  <si>
    <t>Influent constituents (usually zero or otherwise calculated)</t>
  </si>
  <si>
    <r>
      <t>g COD/m</t>
    </r>
    <r>
      <rPr>
        <vertAlign val="superscript"/>
        <sz val="11"/>
        <rFont val="Calibri"/>
        <family val="2"/>
        <scheme val="minor"/>
      </rPr>
      <t>3</t>
    </r>
  </si>
  <si>
    <r>
      <t>g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scheme val="minor"/>
      </rPr>
      <t>3</t>
    </r>
  </si>
  <si>
    <r>
      <t>mg 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/L</t>
    </r>
  </si>
  <si>
    <r>
      <t>g N/m</t>
    </r>
    <r>
      <rPr>
        <vertAlign val="superscript"/>
        <sz val="11"/>
        <rFont val="Calibri"/>
        <family val="2"/>
        <scheme val="minor"/>
      </rPr>
      <t>3</t>
    </r>
  </si>
  <si>
    <t>mg N/L</t>
  </si>
  <si>
    <t>mg P/L</t>
  </si>
  <si>
    <r>
      <t>g P/m</t>
    </r>
    <r>
      <rPr>
        <vertAlign val="superscript"/>
        <sz val="11"/>
        <rFont val="Calibri"/>
        <family val="2"/>
        <scheme val="minor"/>
      </rPr>
      <t>3</t>
    </r>
  </si>
  <si>
    <r>
      <t>g CaCO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/m</t>
    </r>
    <r>
      <rPr>
        <vertAlign val="superscript"/>
        <sz val="11"/>
        <rFont val="Calibri"/>
        <family val="2"/>
        <scheme val="minor"/>
      </rPr>
      <t>3</t>
    </r>
  </si>
  <si>
    <r>
      <t>mg CaCO</t>
    </r>
    <r>
      <rPr>
        <vertAlign val="sub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/L</t>
    </r>
  </si>
  <si>
    <r>
      <t>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/d</t>
    </r>
  </si>
  <si>
    <t>mg Fe/L</t>
  </si>
  <si>
    <r>
      <t>g Fe/m</t>
    </r>
    <r>
      <rPr>
        <vertAlign val="superscript"/>
        <sz val="11"/>
        <rFont val="Calibri"/>
        <family val="2"/>
        <scheme val="minor"/>
      </rPr>
      <t>3</t>
    </r>
  </si>
  <si>
    <t>Calcium carbonate</t>
  </si>
  <si>
    <t>Filtered flocculated COD fraction (including VFA)</t>
  </si>
  <si>
    <t>Filtered COD fraction (including colloids, VFA)</t>
  </si>
  <si>
    <t>Influent active heterotrophic COD fraction</t>
  </si>
  <si>
    <r>
      <t>Particulate substrate (X</t>
    </r>
    <r>
      <rPr>
        <vertAlign val="subscript"/>
        <sz val="11"/>
        <rFont val="Cambria"/>
        <family val="1"/>
      </rPr>
      <t>B</t>
    </r>
    <r>
      <rPr>
        <sz val="11"/>
        <rFont val="Cambria"/>
        <family val="1"/>
      </rPr>
      <t>) COD/VSS ratio</t>
    </r>
  </si>
  <si>
    <t>Biomass COD/VSS ratio</t>
  </si>
  <si>
    <t>Particulate COD/VSS ratios by component</t>
  </si>
  <si>
    <r>
      <t>Particulate unbiodegradable (X</t>
    </r>
    <r>
      <rPr>
        <vertAlign val="subscript"/>
        <sz val="11"/>
        <rFont val="Cambria"/>
        <family val="1"/>
      </rPr>
      <t>U</t>
    </r>
    <r>
      <rPr>
        <sz val="11"/>
        <rFont val="Cambria"/>
        <family val="1"/>
      </rPr>
      <t>) COD/VSS ratio</t>
    </r>
  </si>
  <si>
    <r>
      <t>Particulate endogenous (X</t>
    </r>
    <r>
      <rPr>
        <vertAlign val="subscript"/>
        <sz val="11"/>
        <rFont val="Cambria"/>
        <family val="1"/>
      </rPr>
      <t>E</t>
    </r>
    <r>
      <rPr>
        <sz val="11"/>
        <rFont val="Cambria"/>
        <family val="1"/>
      </rPr>
      <t>) COD/VSS ratio</t>
    </r>
  </si>
  <si>
    <t>Sumo forms</t>
  </si>
  <si>
    <t>Calculations</t>
  </si>
  <si>
    <t>BOD calculations and error tolerances</t>
  </si>
  <si>
    <t>Help</t>
  </si>
  <si>
    <t>This sheet</t>
  </si>
  <si>
    <t>Influent DO (used if DO is modeled)</t>
  </si>
  <si>
    <t>so-so…</t>
  </si>
  <si>
    <t>N fraction of filtered biodegradable COD</t>
  </si>
  <si>
    <t>N fraction of unbiodegradable COD</t>
  </si>
  <si>
    <t>P fraction of filtered biodegradable COD</t>
  </si>
  <si>
    <t>P fraction of unbiodegradable COD</t>
  </si>
  <si>
    <t>Anions (as chloride)</t>
  </si>
  <si>
    <r>
      <t>g Ca.m</t>
    </r>
    <r>
      <rPr>
        <vertAlign val="superscript"/>
        <sz val="11"/>
        <rFont val="Calibri"/>
        <family val="2"/>
        <scheme val="minor"/>
      </rPr>
      <t>-3</t>
    </r>
  </si>
  <si>
    <r>
      <t>g Cl.m</t>
    </r>
    <r>
      <rPr>
        <vertAlign val="superscript"/>
        <sz val="11"/>
        <rFont val="Calibri"/>
        <family val="2"/>
        <scheme val="minor"/>
      </rPr>
      <t>-3</t>
    </r>
  </si>
  <si>
    <r>
      <t>g Mg.m</t>
    </r>
    <r>
      <rPr>
        <vertAlign val="superscript"/>
        <sz val="11"/>
        <rFont val="Calibri"/>
        <family val="2"/>
        <scheme val="minor"/>
      </rPr>
      <t>-3</t>
    </r>
  </si>
  <si>
    <t>100-300</t>
  </si>
  <si>
    <t>Anions (expressed as chloride)</t>
  </si>
  <si>
    <t>Influent endogenous products fraction of OHOs</t>
  </si>
  <si>
    <t>Ionic components</t>
  </si>
  <si>
    <t>PHA XCOD/VSS ratio</t>
  </si>
  <si>
    <t>d</t>
  </si>
  <si>
    <t>h</t>
  </si>
  <si>
    <t>m3/d</t>
  </si>
  <si>
    <t>pH and alkalinity</t>
  </si>
  <si>
    <t>Potassium</t>
  </si>
  <si>
    <r>
      <t>g K.m</t>
    </r>
    <r>
      <rPr>
        <vertAlign val="superscript"/>
        <sz val="11"/>
        <rFont val="Calibri"/>
        <family val="2"/>
        <scheme val="minor"/>
      </rPr>
      <t>-3</t>
    </r>
  </si>
  <si>
    <t>mg Ca/L</t>
  </si>
  <si>
    <t>mg Mg/L</t>
  </si>
  <si>
    <t>mg Cl/L</t>
  </si>
  <si>
    <t>Sodium (strong cation)</t>
  </si>
  <si>
    <r>
      <t>g Na.m</t>
    </r>
    <r>
      <rPr>
        <vertAlign val="superscript"/>
        <sz val="11"/>
        <rFont val="Calibri"/>
        <family val="2"/>
        <scheme val="minor"/>
      </rPr>
      <t>-3</t>
    </r>
  </si>
  <si>
    <t>mg Na/L</t>
  </si>
  <si>
    <t>Anaerobic endogenous decay product</t>
  </si>
  <si>
    <t>Soluble Fe3</t>
  </si>
  <si>
    <t>Soluble Fe2</t>
  </si>
  <si>
    <t>Amorphous calcium phosphate</t>
  </si>
  <si>
    <t>Vivianite</t>
  </si>
  <si>
    <t>Cations (expressed as Sodium)</t>
  </si>
  <si>
    <t>Other measurements  indicators for sanity check</t>
  </si>
  <si>
    <t>COD - BOD indicators for sanity check</t>
  </si>
  <si>
    <r>
      <t>mg O</t>
    </r>
    <r>
      <rPr>
        <vertAlign val="sub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/mg COD</t>
    </r>
  </si>
  <si>
    <r>
      <t>mg O</t>
    </r>
    <r>
      <rPr>
        <vertAlign val="sub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>/L</t>
    </r>
  </si>
  <si>
    <t>mg BOD/L</t>
  </si>
  <si>
    <t>mg CaCO3/L</t>
  </si>
  <si>
    <t>N in biomass</t>
  </si>
  <si>
    <t>Soluble biodegradable organic N</t>
  </si>
  <si>
    <t>Particulate biodegradable organic N</t>
  </si>
  <si>
    <t>Particulate unbiodegradable organic N</t>
  </si>
  <si>
    <t>Key components N</t>
  </si>
  <si>
    <t>N content of biomasses</t>
  </si>
  <si>
    <r>
      <t>g N.g COD</t>
    </r>
    <r>
      <rPr>
        <vertAlign val="superscript"/>
        <sz val="11"/>
        <rFont val="Calibri"/>
        <family val="2"/>
        <scheme val="minor"/>
      </rPr>
      <t>-1</t>
    </r>
  </si>
  <si>
    <t>P content of biomasses</t>
  </si>
  <si>
    <r>
      <t>g P.g COD</t>
    </r>
    <r>
      <rPr>
        <vertAlign val="superscript"/>
        <sz val="11"/>
        <rFont val="Calibri"/>
        <family val="2"/>
        <scheme val="minor"/>
      </rPr>
      <t>-1</t>
    </r>
  </si>
  <si>
    <t>Model parameters</t>
  </si>
  <si>
    <t>P in biomass</t>
  </si>
  <si>
    <t>Soluble biodegradable organic P</t>
  </si>
  <si>
    <t>Particulate biodegradable organic P</t>
  </si>
  <si>
    <t>Particulate unbiodegradable organic P</t>
  </si>
  <si>
    <t>Key components P</t>
  </si>
  <si>
    <t>Colloidal biodegradable organic N</t>
  </si>
  <si>
    <t>Soluble unbiodegradable organic N</t>
  </si>
  <si>
    <t>Colloidal unbiodegradable organic N</t>
  </si>
  <si>
    <t>Colloidal biodegradable organic P</t>
  </si>
  <si>
    <t>Soluble unbiodegradable organic P</t>
  </si>
  <si>
    <t>Colloidal unbiodegradable organic P</t>
  </si>
  <si>
    <t>Total TKN</t>
  </si>
  <si>
    <t>Total P</t>
  </si>
  <si>
    <t>Balance passed</t>
  </si>
  <si>
    <t>Default %</t>
  </si>
  <si>
    <t>To be estimated %</t>
  </si>
  <si>
    <t>VSS/TSS fraction</t>
  </si>
  <si>
    <t>Calculated from data %</t>
  </si>
  <si>
    <t>Check that COD, N, P components add up to totals</t>
  </si>
  <si>
    <t>N content of colloidal substrate</t>
  </si>
  <si>
    <t>N content of colloidal inert organics</t>
  </si>
  <si>
    <t>N content of soluble inerts</t>
  </si>
  <si>
    <t>P content of colloidal substrate</t>
  </si>
  <si>
    <t>P content of colloidal inert organics</t>
  </si>
  <si>
    <t>P content of soluble inerts</t>
  </si>
  <si>
    <t>12 - 15</t>
  </si>
  <si>
    <t>TDM</t>
  </si>
  <si>
    <t>Dissolved material</t>
  </si>
  <si>
    <t>BOD/TSS ratio</t>
  </si>
  <si>
    <t>10 -20</t>
  </si>
  <si>
    <t>65 - 75</t>
  </si>
  <si>
    <t>50- 60</t>
  </si>
  <si>
    <t>V16-b130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</si>
</sst>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"/>
    <numFmt numFmtId="166" formatCode="0.000000"/>
    <numFmt numFmtId="167" formatCode="0.000"/>
    <numFmt numFmtId="168" formatCode="0.0%"/>
  </numFmts>
  <fonts count="42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4"/>
      <name val="Calibri"/>
      <family val="2"/>
    </font>
    <font>
      <b/>
      <sz val="11"/>
      <color rgb="FF00B050"/>
      <name val="Calibri"/>
      <family val="2"/>
    </font>
    <font>
      <sz val="11"/>
      <color indexed="8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</font>
    <font>
      <sz val="11"/>
      <name val="Cambria"/>
      <family val="1"/>
    </font>
    <font>
      <b/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4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</font>
    <font>
      <vertAlign val="subscript"/>
      <sz val="11"/>
      <name val="Cambria"/>
      <family val="1"/>
    </font>
    <font>
      <sz val="11"/>
      <color theme="4"/>
      <name val="Calibri"/>
      <family val="2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33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9" fillId="0" borderId="0"/>
    <xf numFmtId="9" fontId="26" fillId="0" borderId="0" applyFont="0" applyFill="0" applyBorder="0" applyAlignment="0" applyProtection="0"/>
  </cellStyleXfs>
  <cellXfs count="30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5" fontId="21" fillId="0" borderId="0" xfId="2" applyNumberFormat="1" applyFont="1"/>
    <xf numFmtId="165" fontId="9" fillId="0" borderId="0" xfId="2" applyNumberFormat="1"/>
    <xf numFmtId="165" fontId="9" fillId="0" borderId="0" xfId="2" applyNumberFormat="1" applyAlignment="1">
      <alignment horizontal="center" vertical="center"/>
    </xf>
    <xf numFmtId="0" fontId="9" fillId="0" borderId="0" xfId="2" applyAlignment="1">
      <alignment horizontal="center" vertical="center"/>
    </xf>
    <xf numFmtId="0" fontId="9" fillId="0" borderId="0" xfId="2"/>
    <xf numFmtId="0" fontId="11" fillId="0" borderId="0" xfId="2" applyFont="1"/>
    <xf numFmtId="165" fontId="11" fillId="0" borderId="0" xfId="2" applyNumberFormat="1" applyFont="1"/>
    <xf numFmtId="165" fontId="9" fillId="0" borderId="0" xfId="2" applyNumberFormat="1" applyAlignment="1">
      <alignment horizontal="right"/>
    </xf>
    <xf numFmtId="0" fontId="20" fillId="0" borderId="0" xfId="2" applyFont="1"/>
    <xf numFmtId="165" fontId="9" fillId="0" borderId="0" xfId="2" applyNumberFormat="1" applyAlignment="1">
      <alignment horizontal="left" vertical="center"/>
    </xf>
    <xf numFmtId="0" fontId="9" fillId="0" borderId="0" xfId="2" applyAlignment="1">
      <alignment horizontal="left" vertical="center"/>
    </xf>
    <xf numFmtId="165" fontId="9" fillId="0" borderId="12" xfId="2" applyNumberFormat="1" applyBorder="1"/>
    <xf numFmtId="166" fontId="9" fillId="0" borderId="13" xfId="2" applyNumberFormat="1" applyBorder="1" applyAlignment="1">
      <alignment horizontal="center" vertical="center"/>
    </xf>
    <xf numFmtId="165" fontId="9" fillId="0" borderId="13" xfId="2" applyNumberFormat="1" applyBorder="1" applyAlignment="1">
      <alignment horizontal="left" vertical="center"/>
    </xf>
    <xf numFmtId="165" fontId="9" fillId="0" borderId="13" xfId="2" applyNumberFormat="1" applyBorder="1" applyAlignment="1">
      <alignment horizontal="center" vertical="center"/>
    </xf>
    <xf numFmtId="164" fontId="9" fillId="0" borderId="13" xfId="2" applyNumberFormat="1" applyBorder="1" applyAlignment="1">
      <alignment horizontal="center" vertical="center"/>
    </xf>
    <xf numFmtId="0" fontId="9" fillId="0" borderId="13" xfId="2" applyBorder="1" applyAlignment="1">
      <alignment horizontal="center" vertical="center"/>
    </xf>
    <xf numFmtId="164" fontId="9" fillId="0" borderId="14" xfId="2" applyNumberFormat="1" applyBorder="1" applyAlignment="1">
      <alignment horizontal="center" vertical="center"/>
    </xf>
    <xf numFmtId="165" fontId="9" fillId="0" borderId="0" xfId="2" applyNumberFormat="1" applyAlignment="1">
      <alignment horizontal="center"/>
    </xf>
    <xf numFmtId="165" fontId="9" fillId="2" borderId="0" xfId="2" applyNumberFormat="1" applyFill="1" applyAlignment="1">
      <alignment horizontal="center" vertical="center"/>
    </xf>
    <xf numFmtId="0" fontId="9" fillId="2" borderId="0" xfId="2" applyFill="1" applyAlignment="1">
      <alignment horizontal="center" vertical="center"/>
    </xf>
    <xf numFmtId="167" fontId="9" fillId="2" borderId="0" xfId="2" applyNumberFormat="1" applyFill="1" applyAlignment="1">
      <alignment horizontal="center" vertical="center"/>
    </xf>
    <xf numFmtId="0" fontId="11" fillId="3" borderId="7" xfId="1" applyFont="1" applyFill="1" applyBorder="1" applyAlignment="1">
      <alignment horizontal="center" vertical="center" wrapText="1"/>
    </xf>
    <xf numFmtId="164" fontId="23" fillId="0" borderId="7" xfId="1" applyNumberFormat="1" applyFont="1" applyFill="1" applyBorder="1" applyAlignment="1" applyProtection="1">
      <alignment horizontal="center" vertical="center"/>
      <protection locked="0"/>
    </xf>
    <xf numFmtId="164" fontId="37" fillId="0" borderId="7" xfId="1" applyNumberFormat="1" applyFont="1" applyFill="1" applyBorder="1" applyAlignment="1" applyProtection="1">
      <alignment horizontal="center" vertical="center"/>
      <protection locked="0"/>
    </xf>
    <xf numFmtId="164" fontId="23" fillId="0" borderId="10" xfId="1" applyNumberFormat="1" applyFont="1" applyFill="1" applyBorder="1" applyAlignment="1" applyProtection="1">
      <alignment horizontal="center" vertical="center"/>
      <protection locked="0"/>
    </xf>
    <xf numFmtId="164" fontId="23" fillId="0" borderId="7" xfId="1" applyNumberFormat="1" applyFont="1" applyBorder="1" applyAlignment="1" applyProtection="1">
      <alignment horizontal="center" vertical="center"/>
      <protection locked="0"/>
    </xf>
    <xf numFmtId="164" fontId="23" fillId="0" borderId="10" xfId="1" applyNumberFormat="1" applyFont="1" applyBorder="1" applyAlignment="1" applyProtection="1">
      <alignment horizontal="center" vertical="center"/>
      <protection locked="0"/>
    </xf>
    <xf numFmtId="0" fontId="6" fillId="0" borderId="0" xfId="2" applyFont="1"/>
    <xf numFmtId="165" fontId="9" fillId="0" borderId="0" xfId="2" applyNumberFormat="1" applyAlignment="1">
      <alignment horizontal="left"/>
    </xf>
    <xf numFmtId="164" fontId="31" fillId="0" borderId="0" xfId="2" applyNumberFormat="1" applyFont="1" applyAlignment="1" applyProtection="1">
      <alignment horizontal="center" vertical="center"/>
      <protection locked="0"/>
    </xf>
    <xf numFmtId="0" fontId="15" fillId="3" borderId="6" xfId="1" applyFont="1" applyFill="1" applyBorder="1" applyAlignment="1">
      <alignment horizontal="left" vertical="center" wrapText="1"/>
    </xf>
    <xf numFmtId="0" fontId="15" fillId="3" borderId="23" xfId="1" applyFont="1" applyFill="1" applyBorder="1" applyAlignment="1">
      <alignment horizontal="left" vertical="center" wrapText="1"/>
    </xf>
    <xf numFmtId="164" fontId="25" fillId="3" borderId="5" xfId="0" applyNumberFormat="1" applyFont="1" applyFill="1" applyBorder="1" applyAlignment="1">
      <alignment horizontal="center" vertical="center"/>
    </xf>
    <xf numFmtId="168" fontId="25" fillId="3" borderId="21" xfId="3" applyNumberFormat="1" applyFont="1" applyFill="1" applyBorder="1" applyAlignment="1">
      <alignment horizontal="center" vertical="center"/>
    </xf>
    <xf numFmtId="164" fontId="25" fillId="3" borderId="7" xfId="0" applyNumberFormat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left" vertical="center" wrapText="1"/>
    </xf>
    <xf numFmtId="2" fontId="25" fillId="3" borderId="10" xfId="0" applyNumberFormat="1" applyFont="1" applyFill="1" applyBorder="1" applyAlignment="1">
      <alignment horizontal="center" vertical="center"/>
    </xf>
    <xf numFmtId="10" fontId="25" fillId="3" borderId="22" xfId="3" applyNumberFormat="1" applyFont="1" applyFill="1" applyBorder="1" applyAlignment="1">
      <alignment horizontal="center" vertical="center"/>
    </xf>
    <xf numFmtId="2" fontId="25" fillId="3" borderId="7" xfId="0" applyNumberFormat="1" applyFont="1" applyFill="1" applyBorder="1" applyAlignment="1">
      <alignment horizontal="center" vertical="center"/>
    </xf>
    <xf numFmtId="10" fontId="25" fillId="3" borderId="21" xfId="3" applyNumberFormat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left" vertical="center" wrapText="1"/>
    </xf>
    <xf numFmtId="164" fontId="25" fillId="3" borderId="3" xfId="0" applyNumberFormat="1" applyFont="1" applyFill="1" applyBorder="1" applyAlignment="1">
      <alignment horizontal="center" vertical="center"/>
    </xf>
    <xf numFmtId="168" fontId="25" fillId="3" borderId="4" xfId="3" applyNumberFormat="1" applyFont="1" applyFill="1" applyBorder="1" applyAlignment="1">
      <alignment horizontal="center" vertical="center"/>
    </xf>
    <xf numFmtId="2" fontId="25" fillId="3" borderId="3" xfId="0" applyNumberFormat="1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13" fillId="3" borderId="7" xfId="0" applyNumberFormat="1" applyFont="1" applyFill="1" applyBorder="1" applyAlignment="1">
      <alignment horizontal="center" vertical="center"/>
    </xf>
    <xf numFmtId="164" fontId="13" fillId="3" borderId="8" xfId="0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164" fontId="13" fillId="3" borderId="10" xfId="0" applyNumberFormat="1" applyFont="1" applyFill="1" applyBorder="1" applyAlignment="1">
      <alignment horizontal="center" vertical="center"/>
    </xf>
    <xf numFmtId="164" fontId="13" fillId="3" borderId="11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7" xfId="0" quotePrefix="1" applyFill="1" applyBorder="1" applyAlignment="1">
      <alignment horizontal="center" vertical="center"/>
    </xf>
    <xf numFmtId="0" fontId="12" fillId="3" borderId="15" xfId="0" applyFont="1" applyFill="1" applyBorder="1"/>
    <xf numFmtId="0" fontId="0" fillId="3" borderId="10" xfId="0" applyFill="1" applyBorder="1" applyAlignment="1">
      <alignment horizontal="center" vertical="center"/>
    </xf>
    <xf numFmtId="0" fontId="12" fillId="3" borderId="24" xfId="0" applyFont="1" applyFill="1" applyBorder="1" applyAlignment="1">
      <alignment horizontal="left" vertical="center"/>
    </xf>
    <xf numFmtId="0" fontId="0" fillId="3" borderId="25" xfId="0" applyFill="1" applyBorder="1"/>
    <xf numFmtId="0" fontId="0" fillId="3" borderId="26" xfId="0" applyFill="1" applyBorder="1"/>
    <xf numFmtId="0" fontId="11" fillId="3" borderId="6" xfId="1" applyFont="1" applyFill="1" applyBorder="1" applyAlignment="1">
      <alignment horizontal="left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9" xfId="0" applyFill="1" applyBorder="1"/>
    <xf numFmtId="164" fontId="31" fillId="0" borderId="7" xfId="1" applyNumberFormat="1" applyFont="1" applyFill="1" applyBorder="1" applyAlignment="1" applyProtection="1">
      <alignment horizontal="center" vertical="center"/>
      <protection locked="0"/>
    </xf>
    <xf numFmtId="164" fontId="31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horizontal="left" vertical="center"/>
    </xf>
    <xf numFmtId="0" fontId="10" fillId="0" borderId="0" xfId="1" applyFont="1" applyAlignment="1" applyProtection="1">
      <alignment horizontal="center" vertical="center"/>
    </xf>
    <xf numFmtId="0" fontId="10" fillId="0" borderId="0" xfId="1" applyFont="1" applyProtection="1"/>
    <xf numFmtId="0" fontId="15" fillId="3" borderId="6" xfId="1" applyFont="1" applyFill="1" applyBorder="1" applyAlignment="1" applyProtection="1">
      <alignment horizontal="left" vertical="center"/>
    </xf>
    <xf numFmtId="164" fontId="15" fillId="3" borderId="7" xfId="1" applyNumberFormat="1" applyFont="1" applyFill="1" applyBorder="1" applyAlignment="1" applyProtection="1">
      <alignment horizontal="center" vertical="center"/>
    </xf>
    <xf numFmtId="0" fontId="15" fillId="3" borderId="8" xfId="1" applyFont="1" applyFill="1" applyBorder="1" applyAlignment="1" applyProtection="1">
      <alignment horizontal="center" vertical="center"/>
    </xf>
    <xf numFmtId="0" fontId="15" fillId="3" borderId="7" xfId="1" applyFont="1" applyFill="1" applyBorder="1" applyAlignment="1" applyProtection="1">
      <alignment horizontal="center" vertical="center"/>
    </xf>
    <xf numFmtId="0" fontId="10" fillId="0" borderId="0" xfId="1" applyProtection="1"/>
    <xf numFmtId="0" fontId="15" fillId="3" borderId="9" xfId="1" applyFont="1" applyFill="1" applyBorder="1" applyAlignment="1" applyProtection="1">
      <alignment horizontal="left" vertical="center"/>
    </xf>
    <xf numFmtId="0" fontId="15" fillId="3" borderId="10" xfId="1" quotePrefix="1" applyFont="1" applyFill="1" applyBorder="1" applyAlignment="1" applyProtection="1">
      <alignment horizontal="center" vertical="center"/>
    </xf>
    <xf numFmtId="0" fontId="15" fillId="3" borderId="11" xfId="1" applyFont="1" applyFill="1" applyBorder="1" applyAlignment="1" applyProtection="1">
      <alignment horizontal="center" vertical="center"/>
    </xf>
    <xf numFmtId="0" fontId="15" fillId="3" borderId="7" xfId="1" quotePrefix="1" applyFont="1" applyFill="1" applyBorder="1" applyAlignment="1" applyProtection="1">
      <alignment horizontal="center" vertical="center"/>
    </xf>
    <xf numFmtId="0" fontId="15" fillId="3" borderId="8" xfId="1" quotePrefix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/>
    </xf>
    <xf numFmtId="0" fontId="19" fillId="0" borderId="0" xfId="1" applyFont="1" applyFill="1" applyBorder="1" applyAlignment="1" applyProtection="1">
      <alignment horizontal="center" vertical="center"/>
    </xf>
    <xf numFmtId="0" fontId="14" fillId="4" borderId="1" xfId="1" applyFont="1" applyFill="1" applyBorder="1" applyAlignment="1" applyProtection="1">
      <alignment horizontal="left" vertical="center"/>
    </xf>
    <xf numFmtId="0" fontId="15" fillId="3" borderId="6" xfId="1" applyFont="1" applyFill="1" applyBorder="1" applyAlignment="1" applyProtection="1">
      <alignment horizontal="left" vertical="center" wrapText="1"/>
    </xf>
    <xf numFmtId="0" fontId="9" fillId="0" borderId="0" xfId="1" applyFont="1" applyProtection="1"/>
    <xf numFmtId="0" fontId="16" fillId="3" borderId="6" xfId="1" applyFont="1" applyFill="1" applyBorder="1" applyAlignment="1" applyProtection="1">
      <alignment horizontal="left" vertical="center"/>
    </xf>
    <xf numFmtId="0" fontId="15" fillId="3" borderId="10" xfId="1" applyFont="1" applyFill="1" applyBorder="1" applyAlignment="1" applyProtection="1">
      <alignment horizontal="center" vertical="center"/>
    </xf>
    <xf numFmtId="0" fontId="10" fillId="3" borderId="7" xfId="1" applyFont="1" applyFill="1" applyBorder="1" applyAlignment="1" applyProtection="1">
      <alignment horizontal="center" vertical="center"/>
    </xf>
    <xf numFmtId="2" fontId="23" fillId="0" borderId="8" xfId="1" applyNumberFormat="1" applyFont="1" applyFill="1" applyBorder="1" applyAlignment="1" applyProtection="1">
      <alignment horizontal="center" vertical="center"/>
      <protection locked="0"/>
    </xf>
    <xf numFmtId="2" fontId="34" fillId="0" borderId="8" xfId="1" applyNumberFormat="1" applyFont="1" applyFill="1" applyBorder="1" applyAlignment="1" applyProtection="1">
      <alignment horizontal="center" vertical="center"/>
      <protection locked="0"/>
    </xf>
    <xf numFmtId="2" fontId="23" fillId="0" borderId="11" xfId="1" applyNumberFormat="1" applyFont="1" applyFill="1" applyBorder="1" applyAlignment="1" applyProtection="1">
      <alignment horizontal="center" vertical="center"/>
      <protection locked="0"/>
    </xf>
    <xf numFmtId="0" fontId="23" fillId="0" borderId="8" xfId="1" applyFont="1" applyFill="1" applyBorder="1" applyAlignment="1" applyProtection="1">
      <alignment horizontal="center" vertical="center"/>
      <protection locked="0"/>
    </xf>
    <xf numFmtId="0" fontId="23" fillId="0" borderId="11" xfId="1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8" fillId="0" borderId="0" xfId="1" applyFont="1" applyAlignment="1" applyProtection="1">
      <alignment horizontal="center" vertical="center"/>
    </xf>
    <xf numFmtId="0" fontId="14" fillId="4" borderId="16" xfId="1" applyFont="1" applyFill="1" applyBorder="1" applyAlignment="1" applyProtection="1">
      <alignment horizontal="center" vertical="center"/>
    </xf>
    <xf numFmtId="0" fontId="14" fillId="4" borderId="19" xfId="1" applyFont="1" applyFill="1" applyBorder="1" applyAlignment="1" applyProtection="1">
      <alignment horizontal="left" vertical="center"/>
    </xf>
    <xf numFmtId="0" fontId="14" fillId="4" borderId="18" xfId="1" applyNumberFormat="1" applyFont="1" applyFill="1" applyBorder="1" applyAlignment="1" applyProtection="1">
      <alignment horizontal="center" vertical="center" wrapText="1"/>
    </xf>
    <xf numFmtId="0" fontId="14" fillId="4" borderId="20" xfId="1" applyNumberFormat="1" applyFont="1" applyFill="1" applyBorder="1" applyAlignment="1" applyProtection="1">
      <alignment horizontal="center" vertical="center" wrapText="1"/>
    </xf>
    <xf numFmtId="2" fontId="15" fillId="3" borderId="7" xfId="1" applyNumberFormat="1" applyFont="1" applyFill="1" applyBorder="1" applyAlignment="1" applyProtection="1">
      <alignment horizontal="center" vertical="center"/>
    </xf>
    <xf numFmtId="0" fontId="15" fillId="3" borderId="15" xfId="1" applyFont="1" applyFill="1" applyBorder="1" applyAlignment="1" applyProtection="1">
      <alignment horizontal="left" vertical="center"/>
    </xf>
    <xf numFmtId="164" fontId="15" fillId="3" borderId="16" xfId="1" applyNumberFormat="1" applyFont="1" applyFill="1" applyBorder="1" applyAlignment="1" applyProtection="1">
      <alignment horizontal="center" vertical="center"/>
    </xf>
    <xf numFmtId="164" fontId="14" fillId="3" borderId="16" xfId="1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164" fontId="14" fillId="3" borderId="7" xfId="1" applyNumberFormat="1" applyFont="1" applyFill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164" fontId="15" fillId="3" borderId="10" xfId="1" applyNumberFormat="1" applyFont="1" applyFill="1" applyBorder="1" applyAlignment="1" applyProtection="1">
      <alignment horizontal="center" vertical="center"/>
    </xf>
    <xf numFmtId="164" fontId="14" fillId="3" borderId="10" xfId="1" applyNumberFormat="1" applyFont="1" applyFill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2" fontId="15" fillId="3" borderId="10" xfId="1" applyNumberFormat="1" applyFont="1" applyFill="1" applyBorder="1" applyAlignment="1" applyProtection="1">
      <alignment horizontal="center" vertical="center"/>
    </xf>
    <xf numFmtId="0" fontId="15" fillId="0" borderId="0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/>
    </xf>
    <xf numFmtId="0" fontId="23" fillId="0" borderId="0" xfId="1" applyFont="1" applyFill="1" applyBorder="1" applyAlignment="1" applyProtection="1">
      <alignment horizontal="center" vertical="center"/>
    </xf>
    <xf numFmtId="0" fontId="30" fillId="3" borderId="6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/>
    </xf>
    <xf numFmtId="9" fontId="0" fillId="3" borderId="7" xfId="3" applyFont="1" applyFill="1" applyBorder="1" applyAlignment="1">
      <alignment horizontal="center" vertical="center"/>
    </xf>
    <xf numFmtId="9" fontId="0" fillId="3" borderId="10" xfId="3" applyFont="1" applyFill="1" applyBorder="1" applyAlignment="1">
      <alignment horizontal="center" vertical="center"/>
    </xf>
    <xf numFmtId="2" fontId="24" fillId="3" borderId="7" xfId="0" applyNumberFormat="1" applyFont="1" applyFill="1" applyBorder="1" applyAlignment="1" applyProtection="1">
      <alignment horizontal="center" vertical="center"/>
      <protection locked="0"/>
    </xf>
    <xf numFmtId="2" fontId="24" fillId="3" borderId="8" xfId="0" applyNumberFormat="1" applyFont="1" applyFill="1" applyBorder="1" applyAlignment="1" applyProtection="1">
      <alignment horizontal="center" vertical="center"/>
      <protection locked="0"/>
    </xf>
    <xf numFmtId="0" fontId="14" fillId="4" borderId="17" xfId="1" applyFont="1" applyFill="1" applyBorder="1" applyAlignment="1" applyProtection="1">
      <alignment horizontal="center" vertical="center"/>
    </xf>
    <xf numFmtId="0" fontId="15" fillId="3" borderId="6" xfId="1" applyFont="1" applyFill="1" applyBorder="1" applyAlignment="1" applyProtection="1">
      <alignment vertical="center"/>
    </xf>
    <xf numFmtId="0" fontId="10" fillId="3" borderId="6" xfId="1" applyFont="1" applyFill="1" applyBorder="1" applyAlignment="1" applyProtection="1">
      <alignment horizontal="center" vertical="center"/>
    </xf>
    <xf numFmtId="0" fontId="9" fillId="3" borderId="6" xfId="1" applyFont="1" applyFill="1" applyBorder="1" applyAlignment="1" applyProtection="1">
      <alignment horizontal="left" vertical="center"/>
    </xf>
    <xf numFmtId="2" fontId="14" fillId="3" borderId="7" xfId="1" applyNumberFormat="1" applyFont="1" applyFill="1" applyBorder="1" applyAlignment="1" applyProtection="1">
      <alignment horizontal="center" vertical="center"/>
    </xf>
    <xf numFmtId="2" fontId="10" fillId="3" borderId="8" xfId="1" applyNumberFormat="1" applyFont="1" applyFill="1" applyBorder="1" applyAlignment="1" applyProtection="1">
      <alignment horizontal="center" vertical="center"/>
    </xf>
    <xf numFmtId="0" fontId="6" fillId="3" borderId="6" xfId="1" applyFont="1" applyFill="1" applyBorder="1" applyAlignment="1" applyProtection="1">
      <alignment horizontal="left" vertical="center"/>
    </xf>
    <xf numFmtId="2" fontId="35" fillId="3" borderId="7" xfId="1" applyNumberFormat="1" applyFont="1" applyFill="1" applyBorder="1" applyAlignment="1" applyProtection="1">
      <alignment horizontal="center" vertical="center"/>
    </xf>
    <xf numFmtId="0" fontId="5" fillId="3" borderId="7" xfId="1" applyFont="1" applyFill="1" applyBorder="1" applyAlignment="1" applyProtection="1">
      <alignment horizontal="center" vertical="center"/>
    </xf>
    <xf numFmtId="0" fontId="36" fillId="3" borderId="6" xfId="1" applyFont="1" applyFill="1" applyBorder="1" applyAlignment="1" applyProtection="1">
      <alignment vertical="center"/>
    </xf>
    <xf numFmtId="0" fontId="36" fillId="3" borderId="8" xfId="1" applyFont="1" applyFill="1" applyBorder="1" applyAlignment="1" applyProtection="1">
      <alignment horizontal="center" vertical="center"/>
    </xf>
    <xf numFmtId="0" fontId="36" fillId="0" borderId="0" xfId="1" applyFont="1" applyFill="1" applyProtection="1"/>
    <xf numFmtId="0" fontId="36" fillId="3" borderId="6" xfId="1" applyFont="1" applyFill="1" applyBorder="1" applyAlignment="1" applyProtection="1">
      <alignment horizontal="left" vertical="center"/>
    </xf>
    <xf numFmtId="164" fontId="37" fillId="3" borderId="7" xfId="1" applyNumberFormat="1" applyFont="1" applyFill="1" applyBorder="1" applyAlignment="1" applyProtection="1">
      <alignment horizontal="center" vertical="center"/>
    </xf>
    <xf numFmtId="0" fontId="36" fillId="3" borderId="7" xfId="1" applyFont="1" applyFill="1" applyBorder="1" applyAlignment="1" applyProtection="1">
      <alignment horizontal="center" vertical="center"/>
    </xf>
    <xf numFmtId="2" fontId="36" fillId="3" borderId="8" xfId="1" applyNumberFormat="1" applyFont="1" applyFill="1" applyBorder="1" applyAlignment="1" applyProtection="1">
      <alignment horizontal="center" vertical="center"/>
    </xf>
    <xf numFmtId="0" fontId="10" fillId="3" borderId="6" xfId="1" applyFont="1" applyFill="1" applyBorder="1" applyAlignment="1" applyProtection="1">
      <alignment horizontal="left" vertical="center"/>
    </xf>
    <xf numFmtId="0" fontId="36" fillId="0" borderId="0" xfId="1" applyFont="1" applyProtection="1"/>
    <xf numFmtId="2" fontId="37" fillId="3" borderId="7" xfId="1" applyNumberFormat="1" applyFont="1" applyFill="1" applyBorder="1" applyAlignment="1" applyProtection="1">
      <alignment horizontal="center" vertical="center"/>
    </xf>
    <xf numFmtId="0" fontId="9" fillId="3" borderId="7" xfId="1" applyFont="1" applyFill="1" applyBorder="1" applyAlignment="1" applyProtection="1">
      <alignment horizontal="center" vertical="center"/>
    </xf>
    <xf numFmtId="2" fontId="7" fillId="3" borderId="8" xfId="1" quotePrefix="1" applyNumberFormat="1" applyFont="1" applyFill="1" applyBorder="1" applyAlignment="1" applyProtection="1">
      <alignment horizontal="center" vertical="center"/>
    </xf>
    <xf numFmtId="0" fontId="15" fillId="3" borderId="9" xfId="1" applyFont="1" applyFill="1" applyBorder="1" applyAlignment="1" applyProtection="1">
      <alignment vertical="center"/>
    </xf>
    <xf numFmtId="0" fontId="19" fillId="0" borderId="0" xfId="1" applyFont="1" applyFill="1" applyBorder="1" applyAlignment="1" applyProtection="1">
      <alignment vertical="center"/>
    </xf>
    <xf numFmtId="2" fontId="10" fillId="3" borderId="17" xfId="1" applyNumberFormat="1" applyFont="1" applyFill="1" applyBorder="1" applyAlignment="1" applyProtection="1">
      <alignment horizontal="center" vertical="center"/>
    </xf>
    <xf numFmtId="2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0" fontId="9" fillId="3" borderId="8" xfId="1" applyFont="1" applyFill="1" applyBorder="1" applyAlignment="1" applyProtection="1">
      <alignment horizontal="center" vertical="center"/>
    </xf>
    <xf numFmtId="0" fontId="9" fillId="3" borderId="11" xfId="1" applyFont="1" applyFill="1" applyBorder="1" applyAlignment="1" applyProtection="1">
      <alignment horizontal="center" vertical="center"/>
    </xf>
    <xf numFmtId="0" fontId="0" fillId="3" borderId="8" xfId="0" applyFill="1" applyBorder="1"/>
    <xf numFmtId="0" fontId="0" fillId="3" borderId="11" xfId="0" applyFill="1" applyBorder="1"/>
    <xf numFmtId="0" fontId="14" fillId="3" borderId="15" xfId="1" applyFont="1" applyFill="1" applyBorder="1"/>
    <xf numFmtId="0" fontId="14" fillId="3" borderId="17" xfId="1" applyNumberFormat="1" applyFont="1" applyFill="1" applyBorder="1" applyAlignment="1">
      <alignment horizontal="left" vertical="center" wrapText="1"/>
    </xf>
    <xf numFmtId="0" fontId="14" fillId="4" borderId="2" xfId="1" applyFont="1" applyFill="1" applyBorder="1"/>
    <xf numFmtId="0" fontId="14" fillId="3" borderId="4" xfId="1" applyFont="1" applyFill="1" applyBorder="1"/>
    <xf numFmtId="0" fontId="24" fillId="3" borderId="6" xfId="0" applyFont="1" applyFill="1" applyBorder="1"/>
    <xf numFmtId="0" fontId="25" fillId="3" borderId="6" xfId="0" applyFont="1" applyFill="1" applyBorder="1"/>
    <xf numFmtId="0" fontId="12" fillId="3" borderId="6" xfId="0" applyFont="1" applyFill="1" applyBorder="1"/>
    <xf numFmtId="0" fontId="38" fillId="3" borderId="9" xfId="0" applyFont="1" applyFill="1" applyBorder="1"/>
    <xf numFmtId="0" fontId="15" fillId="3" borderId="23" xfId="1" applyFont="1" applyFill="1" applyBorder="1"/>
    <xf numFmtId="0" fontId="15" fillId="3" borderId="21" xfId="1" applyNumberFormat="1" applyFont="1" applyFill="1" applyBorder="1" applyAlignment="1">
      <alignment horizontal="left" vertical="center" wrapText="1"/>
    </xf>
    <xf numFmtId="0" fontId="14" fillId="4" borderId="4" xfId="1" applyFont="1" applyFill="1" applyBorder="1"/>
    <xf numFmtId="0" fontId="12" fillId="3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9" fontId="40" fillId="3" borderId="7" xfId="3" applyFont="1" applyFill="1" applyBorder="1" applyAlignment="1" applyProtection="1">
      <alignment horizontal="center" vertical="center"/>
      <protection locked="0"/>
    </xf>
    <xf numFmtId="9" fontId="40" fillId="3" borderId="10" xfId="3" applyFont="1" applyFill="1" applyBorder="1" applyAlignment="1" applyProtection="1">
      <alignment horizontal="center" vertical="center"/>
      <protection locked="0"/>
    </xf>
    <xf numFmtId="9" fontId="40" fillId="3" borderId="8" xfId="3" applyFont="1" applyFill="1" applyBorder="1" applyAlignment="1" applyProtection="1">
      <alignment horizontal="center" vertical="center"/>
      <protection locked="0"/>
    </xf>
    <xf numFmtId="9" fontId="40" fillId="3" borderId="11" xfId="3" applyFont="1" applyFill="1" applyBorder="1" applyAlignment="1" applyProtection="1">
      <alignment horizontal="center" vertical="center"/>
      <protection locked="0"/>
    </xf>
    <xf numFmtId="164" fontId="41" fillId="0" borderId="7" xfId="1" applyNumberFormat="1" applyFont="1" applyFill="1" applyBorder="1" applyAlignment="1" applyProtection="1">
      <alignment horizontal="center" vertical="center"/>
      <protection locked="0"/>
    </xf>
    <xf numFmtId="164" fontId="41" fillId="0" borderId="10" xfId="1" applyNumberFormat="1" applyFont="1" applyFill="1" applyBorder="1" applyAlignment="1" applyProtection="1">
      <alignment horizontal="center" vertical="center"/>
      <protection locked="0"/>
    </xf>
    <xf numFmtId="0" fontId="15" fillId="4" borderId="7" xfId="1" applyNumberFormat="1" applyFont="1" applyFill="1" applyBorder="1" applyAlignment="1" applyProtection="1">
      <alignment horizontal="center" vertical="center" wrapText="1"/>
    </xf>
    <xf numFmtId="0" fontId="14" fillId="4" borderId="19" xfId="1" applyNumberFormat="1" applyFont="1" applyFill="1" applyBorder="1" applyAlignment="1" applyProtection="1">
      <alignment horizontal="left" vertical="center" wrapText="1"/>
    </xf>
    <xf numFmtId="0" fontId="15" fillId="4" borderId="16" xfId="1" applyNumberFormat="1" applyFont="1" applyFill="1" applyBorder="1" applyAlignment="1" applyProtection="1">
      <alignment horizontal="center" vertical="center" wrapText="1"/>
    </xf>
    <xf numFmtId="0" fontId="15" fillId="4" borderId="17" xfId="1" applyNumberFormat="1" applyFont="1" applyFill="1" applyBorder="1" applyAlignment="1" applyProtection="1">
      <alignment horizontal="center" vertical="center" wrapText="1"/>
    </xf>
    <xf numFmtId="0" fontId="15" fillId="4" borderId="8" xfId="1" applyNumberFormat="1" applyFont="1" applyFill="1" applyBorder="1" applyAlignment="1" applyProtection="1">
      <alignment horizontal="center" vertical="center" wrapText="1"/>
    </xf>
    <xf numFmtId="0" fontId="15" fillId="4" borderId="10" xfId="1" applyNumberFormat="1" applyFont="1" applyFill="1" applyBorder="1" applyAlignment="1" applyProtection="1">
      <alignment horizontal="center" vertical="center" wrapText="1"/>
    </xf>
    <xf numFmtId="0" fontId="15" fillId="4" borderId="11" xfId="1" applyNumberFormat="1" applyFont="1" applyFill="1" applyBorder="1" applyAlignment="1" applyProtection="1">
      <alignment horizontal="center" vertical="center" wrapText="1"/>
    </xf>
    <xf numFmtId="0" fontId="14" fillId="4" borderId="19" xfId="1" applyFont="1" applyFill="1" applyBorder="1" applyProtection="1"/>
    <xf numFmtId="0" fontId="15" fillId="3" borderId="15" xfId="1" applyFont="1" applyFill="1" applyBorder="1" applyAlignment="1" applyProtection="1">
      <alignment vertical="center"/>
    </xf>
    <xf numFmtId="164" fontId="23" fillId="0" borderId="16" xfId="1" applyNumberFormat="1" applyFont="1" applyFill="1" applyBorder="1" applyAlignment="1" applyProtection="1">
      <alignment horizontal="center" vertical="center"/>
      <protection locked="0"/>
    </xf>
    <xf numFmtId="0" fontId="15" fillId="3" borderId="17" xfId="1" applyFont="1" applyFill="1" applyBorder="1" applyAlignment="1" applyProtection="1">
      <alignment horizontal="center" vertical="center"/>
    </xf>
    <xf numFmtId="0" fontId="7" fillId="3" borderId="6" xfId="1" applyFont="1" applyFill="1" applyBorder="1" applyProtection="1"/>
    <xf numFmtId="0" fontId="15" fillId="3" borderId="9" xfId="1" applyFont="1" applyFill="1" applyBorder="1" applyAlignment="1" applyProtection="1">
      <alignment horizontal="left" vertical="center" wrapText="1"/>
    </xf>
    <xf numFmtId="0" fontId="6" fillId="3" borderId="15" xfId="1" applyFont="1" applyFill="1" applyBorder="1" applyAlignment="1" applyProtection="1">
      <alignment horizontal="left" vertical="center"/>
    </xf>
    <xf numFmtId="0" fontId="15" fillId="3" borderId="16" xfId="1" applyFont="1" applyFill="1" applyBorder="1" applyAlignment="1" applyProtection="1">
      <alignment horizontal="center" vertical="center"/>
    </xf>
    <xf numFmtId="16" fontId="4" fillId="3" borderId="8" xfId="1" quotePrefix="1" applyNumberFormat="1" applyFont="1" applyFill="1" applyBorder="1" applyAlignment="1" applyProtection="1">
      <alignment horizontal="center" vertical="center"/>
    </xf>
    <xf numFmtId="164" fontId="31" fillId="0" borderId="16" xfId="1" applyNumberFormat="1" applyFont="1" applyFill="1" applyBorder="1" applyAlignment="1" applyProtection="1">
      <alignment horizontal="center" vertical="center"/>
      <protection locked="0"/>
    </xf>
    <xf numFmtId="0" fontId="14" fillId="4" borderId="18" xfId="1" applyFont="1" applyFill="1" applyBorder="1" applyAlignment="1" applyProtection="1">
      <alignment horizontal="center" vertical="center"/>
    </xf>
    <xf numFmtId="2" fontId="15" fillId="3" borderId="16" xfId="1" applyNumberFormat="1" applyFont="1" applyFill="1" applyBorder="1" applyAlignment="1" applyProtection="1">
      <alignment horizontal="center" vertical="center"/>
    </xf>
    <xf numFmtId="0" fontId="34" fillId="0" borderId="17" xfId="1" applyFont="1" applyFill="1" applyBorder="1" applyAlignment="1" applyProtection="1">
      <alignment horizontal="center" vertical="center"/>
      <protection locked="0"/>
    </xf>
    <xf numFmtId="2" fontId="15" fillId="3" borderId="6" xfId="1" applyNumberFormat="1" applyFont="1" applyFill="1" applyBorder="1" applyAlignment="1" applyProtection="1">
      <alignment horizontal="left" vertical="center"/>
    </xf>
    <xf numFmtId="2" fontId="15" fillId="3" borderId="9" xfId="1" applyNumberFormat="1" applyFont="1" applyFill="1" applyBorder="1" applyAlignment="1" applyProtection="1">
      <alignment horizontal="left" vertical="center"/>
    </xf>
    <xf numFmtId="0" fontId="5" fillId="3" borderId="6" xfId="1" applyFont="1" applyFill="1" applyBorder="1" applyAlignment="1" applyProtection="1">
      <alignment horizontal="left" vertical="center"/>
    </xf>
    <xf numFmtId="0" fontId="15" fillId="3" borderId="9" xfId="0" applyNumberFormat="1" applyFont="1" applyFill="1" applyBorder="1" applyAlignment="1">
      <alignment horizontal="left" vertical="center" wrapText="1"/>
    </xf>
    <xf numFmtId="2" fontId="15" fillId="3" borderId="10" xfId="0" applyNumberFormat="1" applyFont="1" applyFill="1" applyBorder="1" applyAlignment="1">
      <alignment horizontal="center" vertical="center" wrapText="1"/>
    </xf>
    <xf numFmtId="165" fontId="3" fillId="0" borderId="0" xfId="2" applyNumberFormat="1" applyFont="1" applyAlignment="1">
      <alignment horizontal="center"/>
    </xf>
    <xf numFmtId="165" fontId="3" fillId="2" borderId="0" xfId="2" applyNumberFormat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164" fontId="9" fillId="2" borderId="0" xfId="2" applyNumberFormat="1" applyFill="1" applyAlignment="1">
      <alignment horizontal="center"/>
    </xf>
    <xf numFmtId="0" fontId="15" fillId="3" borderId="27" xfId="1" applyFont="1" applyFill="1" applyBorder="1" applyAlignment="1" applyProtection="1">
      <alignment horizontal="left" vertical="center"/>
    </xf>
    <xf numFmtId="0" fontId="15" fillId="3" borderId="23" xfId="1" applyFont="1" applyFill="1" applyBorder="1" applyAlignment="1" applyProtection="1">
      <alignment horizontal="left" vertical="center"/>
    </xf>
    <xf numFmtId="164" fontId="31" fillId="0" borderId="5" xfId="1" applyNumberFormat="1" applyFont="1" applyFill="1" applyBorder="1" applyAlignment="1" applyProtection="1">
      <alignment horizontal="center" vertical="center"/>
      <protection locked="0"/>
    </xf>
    <xf numFmtId="0" fontId="15" fillId="3" borderId="5" xfId="1" applyFont="1" applyFill="1" applyBorder="1" applyAlignment="1" applyProtection="1">
      <alignment horizontal="center" vertical="center"/>
    </xf>
    <xf numFmtId="0" fontId="15" fillId="3" borderId="21" xfId="1" applyFont="1" applyFill="1" applyBorder="1" applyAlignment="1" applyProtection="1">
      <alignment horizontal="center" vertical="center"/>
    </xf>
    <xf numFmtId="0" fontId="10" fillId="0" borderId="0" xfId="1" applyFont="1" applyFill="1" applyBorder="1" applyProtection="1"/>
    <xf numFmtId="164" fontId="31" fillId="0" borderId="0" xfId="1" applyNumberFormat="1" applyFont="1" applyFill="1" applyBorder="1" applyAlignment="1" applyProtection="1">
      <alignment horizontal="center" vertical="center"/>
      <protection locked="0"/>
    </xf>
    <xf numFmtId="0" fontId="14" fillId="4" borderId="29" xfId="1" applyFont="1" applyFill="1" applyBorder="1" applyAlignment="1" applyProtection="1">
      <alignment horizontal="left" vertical="center"/>
    </xf>
    <xf numFmtId="164" fontId="15" fillId="3" borderId="5" xfId="1" applyNumberFormat="1" applyFont="1" applyFill="1" applyBorder="1" applyAlignment="1" applyProtection="1">
      <alignment horizontal="center" vertical="center"/>
    </xf>
    <xf numFmtId="0" fontId="14" fillId="4" borderId="2" xfId="1" applyFont="1" applyFill="1" applyBorder="1" applyAlignment="1" applyProtection="1">
      <alignment horizontal="left" vertical="center"/>
    </xf>
    <xf numFmtId="0" fontId="14" fillId="4" borderId="3" xfId="1" applyNumberFormat="1" applyFont="1" applyFill="1" applyBorder="1" applyAlignment="1" applyProtection="1">
      <alignment horizontal="center" vertical="center" wrapText="1"/>
    </xf>
    <xf numFmtId="0" fontId="14" fillId="4" borderId="4" xfId="1" applyNumberFormat="1" applyFont="1" applyFill="1" applyBorder="1" applyAlignment="1" applyProtection="1">
      <alignment horizontal="center" vertical="center" wrapText="1"/>
    </xf>
    <xf numFmtId="0" fontId="15" fillId="4" borderId="15" xfId="1" applyFont="1" applyFill="1" applyBorder="1" applyAlignment="1" applyProtection="1">
      <alignment horizontal="left" vertical="center"/>
    </xf>
    <xf numFmtId="0" fontId="15" fillId="3" borderId="16" xfId="1" quotePrefix="1" applyFont="1" applyFill="1" applyBorder="1" applyAlignment="1" applyProtection="1">
      <alignment horizontal="center" vertical="center"/>
    </xf>
    <xf numFmtId="0" fontId="15" fillId="3" borderId="17" xfId="1" quotePrefix="1" applyFont="1" applyFill="1" applyBorder="1" applyAlignment="1" applyProtection="1">
      <alignment horizontal="center" vertical="center"/>
    </xf>
    <xf numFmtId="0" fontId="15" fillId="3" borderId="11" xfId="1" quotePrefix="1" applyFont="1" applyFill="1" applyBorder="1" applyAlignment="1" applyProtection="1">
      <alignment horizontal="center" vertical="center"/>
    </xf>
    <xf numFmtId="164" fontId="41" fillId="0" borderId="5" xfId="1" applyNumberFormat="1" applyFont="1" applyFill="1" applyBorder="1" applyAlignment="1" applyProtection="1">
      <alignment horizontal="center" vertical="center"/>
      <protection locked="0"/>
    </xf>
    <xf numFmtId="0" fontId="14" fillId="4" borderId="2" xfId="1" applyNumberFormat="1" applyFont="1" applyFill="1" applyBorder="1" applyAlignment="1" applyProtection="1">
      <alignment horizontal="left" vertical="center" wrapText="1"/>
    </xf>
    <xf numFmtId="0" fontId="15" fillId="3" borderId="27" xfId="1" applyFont="1" applyFill="1" applyBorder="1" applyAlignment="1" applyProtection="1">
      <alignment horizontal="left" vertical="center" wrapText="1"/>
    </xf>
    <xf numFmtId="164" fontId="23" fillId="0" borderId="28" xfId="1" applyNumberFormat="1" applyFont="1" applyBorder="1" applyAlignment="1" applyProtection="1">
      <alignment horizontal="center" vertical="center"/>
      <protection locked="0"/>
    </xf>
    <xf numFmtId="164" fontId="14" fillId="0" borderId="0" xfId="1" applyNumberFormat="1" applyFont="1" applyFill="1" applyBorder="1" applyAlignment="1" applyProtection="1">
      <alignment horizontal="center" vertical="center"/>
    </xf>
    <xf numFmtId="0" fontId="6" fillId="0" borderId="0" xfId="1" quotePrefix="1" applyFont="1" applyFill="1" applyBorder="1" applyAlignment="1" applyProtection="1">
      <alignment horizontal="center" vertical="center"/>
    </xf>
    <xf numFmtId="0" fontId="14" fillId="4" borderId="2" xfId="1" applyFont="1" applyFill="1" applyBorder="1" applyProtection="1"/>
    <xf numFmtId="0" fontId="14" fillId="4" borderId="3" xfId="1" applyFont="1" applyFill="1" applyBorder="1" applyAlignment="1" applyProtection="1">
      <alignment horizontal="center" vertical="center"/>
    </xf>
    <xf numFmtId="0" fontId="14" fillId="4" borderId="4" xfId="1" applyFont="1" applyFill="1" applyBorder="1" applyAlignment="1" applyProtection="1">
      <alignment horizontal="center" vertical="center"/>
    </xf>
    <xf numFmtId="0" fontId="15" fillId="3" borderId="23" xfId="1" applyFont="1" applyFill="1" applyBorder="1" applyAlignment="1" applyProtection="1">
      <alignment vertical="center"/>
    </xf>
    <xf numFmtId="164" fontId="23" fillId="0" borderId="5" xfId="1" applyNumberFormat="1" applyFont="1" applyFill="1" applyBorder="1" applyAlignment="1" applyProtection="1">
      <alignment horizontal="center" vertical="center"/>
      <protection locked="0"/>
    </xf>
    <xf numFmtId="0" fontId="10" fillId="3" borderId="23" xfId="1" applyFont="1" applyFill="1" applyBorder="1" applyAlignment="1" applyProtection="1">
      <alignment horizontal="center" vertical="center"/>
    </xf>
    <xf numFmtId="0" fontId="10" fillId="3" borderId="5" xfId="1" applyFont="1" applyFill="1" applyBorder="1" applyAlignment="1" applyProtection="1">
      <alignment horizontal="center" vertical="center"/>
    </xf>
    <xf numFmtId="0" fontId="10" fillId="3" borderId="21" xfId="1" applyFont="1" applyFill="1" applyBorder="1" applyAlignment="1" applyProtection="1">
      <alignment horizontal="center" vertical="center"/>
    </xf>
    <xf numFmtId="0" fontId="14" fillId="4" borderId="2" xfId="1" applyFont="1" applyFill="1" applyBorder="1" applyAlignment="1" applyProtection="1">
      <alignment horizontal="center" vertical="center"/>
    </xf>
    <xf numFmtId="2" fontId="14" fillId="3" borderId="10" xfId="1" applyNumberFormat="1" applyFont="1" applyFill="1" applyBorder="1" applyAlignment="1" applyProtection="1">
      <alignment horizontal="center" vertical="center"/>
    </xf>
    <xf numFmtId="2" fontId="10" fillId="3" borderId="11" xfId="1" applyNumberFormat="1" applyFont="1" applyFill="1" applyBorder="1" applyAlignment="1" applyProtection="1">
      <alignment horizontal="center" vertical="center"/>
    </xf>
    <xf numFmtId="0" fontId="14" fillId="4" borderId="2" xfId="1" applyFont="1" applyFill="1" applyBorder="1" applyAlignment="1" applyProtection="1">
      <alignment vertical="center"/>
    </xf>
    <xf numFmtId="0" fontId="10" fillId="3" borderId="9" xfId="1" applyFont="1" applyFill="1" applyBorder="1" applyAlignment="1" applyProtection="1">
      <alignment horizontal="left" vertical="center"/>
    </xf>
    <xf numFmtId="0" fontId="10" fillId="3" borderId="10" xfId="1" applyFont="1" applyFill="1" applyBorder="1" applyAlignment="1" applyProtection="1">
      <alignment horizontal="center" vertical="center"/>
    </xf>
    <xf numFmtId="16" fontId="4" fillId="3" borderId="11" xfId="1" quotePrefix="1" applyNumberFormat="1" applyFont="1" applyFill="1" applyBorder="1" applyAlignment="1" applyProtection="1">
      <alignment horizontal="center" vertical="center"/>
    </xf>
    <xf numFmtId="167" fontId="15" fillId="0" borderId="7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8" xfId="0" applyNumberFormat="1" applyFont="1" applyFill="1" applyBorder="1" applyAlignment="1">
      <alignment horizontal="center" vertical="center" wrapText="1"/>
    </xf>
    <xf numFmtId="167" fontId="15" fillId="0" borderId="10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left" vertical="center" wrapText="1"/>
    </xf>
    <xf numFmtId="0" fontId="15" fillId="0" borderId="9" xfId="0" applyNumberFormat="1" applyFont="1" applyFill="1" applyBorder="1" applyAlignment="1">
      <alignment horizontal="left" vertical="center" wrapText="1"/>
    </xf>
    <xf numFmtId="0" fontId="14" fillId="3" borderId="19" xfId="1" applyFont="1" applyFill="1" applyBorder="1" applyAlignment="1">
      <alignment horizontal="left" vertical="center"/>
    </xf>
    <xf numFmtId="0" fontId="14" fillId="3" borderId="18" xfId="1" applyNumberFormat="1" applyFont="1" applyFill="1" applyBorder="1" applyAlignment="1">
      <alignment horizontal="center" vertical="center" wrapText="1"/>
    </xf>
    <xf numFmtId="0" fontId="14" fillId="3" borderId="20" xfId="1" applyNumberFormat="1" applyFont="1" applyFill="1" applyBorder="1" applyAlignment="1">
      <alignment horizontal="center" vertical="center" wrapText="1"/>
    </xf>
    <xf numFmtId="0" fontId="15" fillId="3" borderId="15" xfId="1" applyFont="1" applyFill="1" applyBorder="1" applyAlignment="1">
      <alignment horizontal="left" vertical="center" wrapText="1"/>
    </xf>
    <xf numFmtId="164" fontId="25" fillId="3" borderId="16" xfId="0" applyNumberFormat="1" applyFont="1" applyFill="1" applyBorder="1" applyAlignment="1">
      <alignment horizontal="center" vertical="center"/>
    </xf>
    <xf numFmtId="168" fontId="25" fillId="3" borderId="17" xfId="3" applyNumberFormat="1" applyFont="1" applyFill="1" applyBorder="1" applyAlignment="1">
      <alignment horizontal="center" vertical="center"/>
    </xf>
    <xf numFmtId="0" fontId="15" fillId="3" borderId="30" xfId="1" applyFont="1" applyFill="1" applyBorder="1" applyAlignment="1">
      <alignment horizontal="left" vertical="center" wrapText="1"/>
    </xf>
    <xf numFmtId="168" fontId="25" fillId="3" borderId="22" xfId="3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left" vertical="center"/>
    </xf>
    <xf numFmtId="0" fontId="14" fillId="3" borderId="3" xfId="1" applyNumberFormat="1" applyFont="1" applyFill="1" applyBorder="1" applyAlignment="1">
      <alignment horizontal="center" vertical="center" wrapText="1"/>
    </xf>
    <xf numFmtId="0" fontId="14" fillId="3" borderId="4" xfId="1" applyNumberFormat="1" applyFont="1" applyFill="1" applyBorder="1" applyAlignment="1">
      <alignment horizontal="center" vertical="center" wrapText="1"/>
    </xf>
    <xf numFmtId="0" fontId="6" fillId="3" borderId="23" xfId="1" applyFont="1" applyFill="1" applyBorder="1" applyAlignment="1">
      <alignment horizontal="left" vertical="center" wrapText="1"/>
    </xf>
    <xf numFmtId="2" fontId="25" fillId="3" borderId="5" xfId="0" applyNumberFormat="1" applyFont="1" applyFill="1" applyBorder="1" applyAlignment="1">
      <alignment horizontal="center" vertical="center"/>
    </xf>
    <xf numFmtId="0" fontId="2" fillId="3" borderId="6" xfId="1" applyFont="1" applyFill="1" applyBorder="1" applyAlignment="1" applyProtection="1">
      <alignment horizontal="left" vertical="center"/>
    </xf>
    <xf numFmtId="164" fontId="14" fillId="3" borderId="21" xfId="1" applyNumberFormat="1" applyFont="1" applyFill="1" applyBorder="1" applyAlignment="1" applyProtection="1">
      <alignment horizontal="center" vertical="center"/>
    </xf>
    <xf numFmtId="164" fontId="14" fillId="3" borderId="8" xfId="1" applyNumberFormat="1" applyFont="1" applyFill="1" applyBorder="1" applyAlignment="1" applyProtection="1">
      <alignment horizontal="center" vertical="center"/>
    </xf>
    <xf numFmtId="164" fontId="14" fillId="3" borderId="11" xfId="1" applyNumberFormat="1" applyFont="1" applyFill="1" applyBorder="1" applyAlignment="1" applyProtection="1">
      <alignment horizontal="center" vertical="center"/>
    </xf>
    <xf numFmtId="0" fontId="14" fillId="3" borderId="19" xfId="0" applyNumberFormat="1" applyFont="1" applyFill="1" applyBorder="1" applyAlignment="1">
      <alignment horizontal="left" vertical="center"/>
    </xf>
    <xf numFmtId="0" fontId="14" fillId="3" borderId="18" xfId="0" applyNumberFormat="1" applyFont="1" applyFill="1" applyBorder="1" applyAlignment="1">
      <alignment horizontal="center" vertical="center" wrapText="1"/>
    </xf>
    <xf numFmtId="0" fontId="14" fillId="3" borderId="20" xfId="0" applyNumberFormat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left" vertical="center" wrapText="1"/>
    </xf>
    <xf numFmtId="167" fontId="15" fillId="0" borderId="16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165" fontId="25" fillId="3" borderId="5" xfId="0" applyNumberFormat="1" applyFont="1" applyFill="1" applyBorder="1" applyAlignment="1">
      <alignment horizontal="center" vertical="center"/>
    </xf>
    <xf numFmtId="165" fontId="25" fillId="3" borderId="31" xfId="0" applyNumberFormat="1" applyFont="1" applyFill="1" applyBorder="1" applyAlignment="1">
      <alignment horizontal="center" vertical="center"/>
    </xf>
    <xf numFmtId="0" fontId="30" fillId="3" borderId="15" xfId="0" applyNumberFormat="1" applyFont="1" applyFill="1" applyBorder="1" applyAlignment="1" applyProtection="1">
      <alignment horizontal="left" vertical="center" wrapText="1"/>
    </xf>
    <xf numFmtId="2" fontId="23" fillId="0" borderId="17" xfId="1" applyNumberFormat="1" applyFont="1" applyFill="1" applyBorder="1" applyAlignment="1" applyProtection="1">
      <alignment horizontal="center" vertical="center"/>
      <protection locked="0"/>
    </xf>
    <xf numFmtId="2" fontId="1" fillId="3" borderId="8" xfId="1" quotePrefix="1" applyNumberFormat="1" applyFont="1" applyFill="1" applyBorder="1" applyAlignment="1" applyProtection="1">
      <alignment horizontal="center" vertical="center"/>
    </xf>
    <xf numFmtId="164" fontId="23" fillId="0" borderId="0" xfId="1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Fill="1" applyBorder="1" applyAlignment="1" applyProtection="1">
      <alignment vertical="center"/>
    </xf>
    <xf numFmtId="2" fontId="1" fillId="3" borderId="17" xfId="1" quotePrefix="1" applyNumberFormat="1" applyFont="1" applyFill="1" applyBorder="1" applyAlignment="1" applyProtection="1">
      <alignment horizontal="center" vertical="center"/>
    </xf>
    <xf numFmtId="0" fontId="10" fillId="0" borderId="0" xfId="3" applyNumberFormat="1" applyFont="1" applyProtection="1"/>
    <xf numFmtId="2" fontId="14" fillId="3" borderId="16" xfId="1" applyNumberFormat="1" applyFont="1" applyFill="1" applyBorder="1" applyAlignment="1" applyProtection="1">
      <alignment horizontal="center" vertical="center"/>
    </xf>
    <xf numFmtId="0" fontId="6" fillId="3" borderId="16" xfId="1" applyFont="1" applyFill="1" applyBorder="1" applyAlignment="1" applyProtection="1">
      <alignment horizontal="center" vertical="center"/>
    </xf>
    <xf numFmtId="0" fontId="1" fillId="3" borderId="9" xfId="1" applyFont="1" applyFill="1" applyBorder="1" applyAlignment="1" applyProtection="1">
      <alignment horizontal="left" vertical="center"/>
    </xf>
    <xf numFmtId="2" fontId="0" fillId="3" borderId="15" xfId="0" applyNumberFormat="1" applyFont="1" applyFill="1" applyBorder="1" applyAlignment="1" applyProtection="1">
      <alignment horizontal="left" vertical="center"/>
    </xf>
    <xf numFmtId="2" fontId="0" fillId="3" borderId="6" xfId="0" applyNumberFormat="1" applyFont="1" applyFill="1" applyBorder="1" applyAlignment="1" applyProtection="1">
      <alignment horizontal="left" vertical="center"/>
    </xf>
    <xf numFmtId="2" fontId="0" fillId="3" borderId="9" xfId="0" applyNumberFormat="1" applyFont="1" applyFill="1" applyBorder="1" applyAlignment="1" applyProtection="1">
      <alignment horizontal="left" vertical="center"/>
    </xf>
    <xf numFmtId="2" fontId="0" fillId="3" borderId="16" xfId="0" applyNumberFormat="1" applyFont="1" applyFill="1" applyBorder="1" applyAlignment="1" applyProtection="1">
      <alignment horizontal="center" vertical="center"/>
    </xf>
    <xf numFmtId="2" fontId="0" fillId="3" borderId="7" xfId="0" applyNumberFormat="1" applyFont="1" applyFill="1" applyBorder="1" applyAlignment="1" applyProtection="1">
      <alignment horizontal="center" vertical="center"/>
    </xf>
    <xf numFmtId="2" fontId="0" fillId="3" borderId="10" xfId="0" applyNumberFormat="1" applyFont="1" applyFill="1" applyBorder="1" applyAlignment="1" applyProtection="1">
      <alignment horizontal="center" vertical="center"/>
    </xf>
    <xf numFmtId="2" fontId="12" fillId="3" borderId="16" xfId="0" applyNumberFormat="1" applyFont="1" applyFill="1" applyBorder="1" applyAlignment="1" applyProtection="1">
      <alignment horizontal="center" vertical="center"/>
    </xf>
    <xf numFmtId="2" fontId="12" fillId="3" borderId="7" xfId="0" applyNumberFormat="1" applyFont="1" applyFill="1" applyBorder="1" applyAlignment="1" applyProtection="1">
      <alignment horizontal="center" vertical="center"/>
    </xf>
    <xf numFmtId="2" fontId="12" fillId="3" borderId="10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14" fillId="4" borderId="3" xfId="1" applyNumberFormat="1" applyFont="1" applyFill="1" applyBorder="1" applyAlignment="1" applyProtection="1">
      <alignment horizontal="center" vertical="center" wrapText="1"/>
    </xf>
    <xf numFmtId="0" fontId="14" fillId="4" borderId="4" xfId="1" applyNumberFormat="1" applyFont="1" applyFill="1" applyBorder="1" applyAlignment="1" applyProtection="1">
      <alignment horizontal="center" vertical="center" wrapText="1"/>
    </xf>
    <xf numFmtId="164" fontId="14" fillId="5" borderId="5" xfId="1" applyNumberFormat="1" applyFont="1" applyFill="1" applyBorder="1" applyAlignment="1" applyProtection="1">
      <alignment horizontal="center" vertical="center"/>
    </xf>
    <xf numFmtId="164" fontId="14" fillId="5" borderId="21" xfId="1" applyNumberFormat="1" applyFont="1" applyFill="1" applyBorder="1" applyAlignment="1" applyProtection="1">
      <alignment horizontal="center" vertical="center"/>
    </xf>
    <xf numFmtId="164" fontId="14" fillId="5" borderId="7" xfId="1" applyNumberFormat="1" applyFont="1" applyFill="1" applyBorder="1" applyAlignment="1" applyProtection="1">
      <alignment horizontal="center" vertical="center"/>
    </xf>
    <xf numFmtId="164" fontId="14" fillId="5" borderId="8" xfId="1" applyNumberFormat="1" applyFont="1" applyFill="1" applyBorder="1" applyAlignment="1" applyProtection="1">
      <alignment horizontal="center" vertical="center"/>
    </xf>
    <xf numFmtId="164" fontId="14" fillId="5" borderId="10" xfId="1" applyNumberFormat="1" applyFont="1" applyFill="1" applyBorder="1" applyAlignment="1" applyProtection="1">
      <alignment horizontal="center" vertical="center"/>
    </xf>
    <xf numFmtId="164" fontId="14" fillId="5" borderId="11" xfId="1" applyNumberFormat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2"/>
    <cellStyle name="Normal 3" xfId="1"/>
    <cellStyle name="Pourcentage" xfId="3" builtinId="5"/>
  </cellStyles>
  <dxfs count="16"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33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'Diurnal flow'!$B$8</c:f>
              <c:strCache>
                <c:ptCount val="1"/>
                <c:pt idx="0">
                  <c:v>small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flow'!$B$10:$B$33</c:f>
              <c:numCache>
                <c:formatCode>0.0000</c:formatCode>
                <c:ptCount val="24"/>
                <c:pt idx="0">
                  <c:v>0.92370848053769694</c:v>
                </c:pt>
                <c:pt idx="1">
                  <c:v>0.79842741753157853</c:v>
                </c:pt>
                <c:pt idx="2">
                  <c:v>0.67606828055988355</c:v>
                </c:pt>
                <c:pt idx="3">
                  <c:v>0.58386775266027691</c:v>
                </c:pt>
                <c:pt idx="4">
                  <c:v>0.54484137120169696</c:v>
                </c:pt>
                <c:pt idx="5">
                  <c:v>0.57173167120325918</c:v>
                </c:pt>
                <c:pt idx="6">
                  <c:v>0.66343808388767789</c:v>
                </c:pt>
                <c:pt idx="7">
                  <c:v>0.80489581033830182</c:v>
                </c:pt>
                <c:pt idx="8">
                  <c:v>0.97046447723580986</c:v>
                </c:pt>
                <c:pt idx="9">
                  <c:v>1.129962743485216</c:v>
                </c:pt>
                <c:pt idx="10">
                  <c:v>1.255788842063815</c:v>
                </c:pt>
                <c:pt idx="11">
                  <c:v>1.3292849806740759</c:v>
                </c:pt>
                <c:pt idx="12">
                  <c:v>1.3447105581983232</c:v>
                </c:pt>
                <c:pt idx="13">
                  <c:v>1.309829505464472</c:v>
                </c:pt>
                <c:pt idx="14">
                  <c:v>1.2430191716043275</c:v>
                </c:pt>
                <c:pt idx="15">
                  <c:v>1.1677306805222387</c:v>
                </c:pt>
                <c:pt idx="16">
                  <c:v>1.105827042226494</c:v>
                </c:pt>
                <c:pt idx="17">
                  <c:v>1.0716098389832069</c:v>
                </c:pt>
                <c:pt idx="18">
                  <c:v>1.0681428773763031</c:v>
                </c:pt>
                <c:pt idx="19">
                  <c:v>1.0868472666656483</c:v>
                </c:pt>
                <c:pt idx="20">
                  <c:v>1.11044807059998</c:v>
                </c:pt>
                <c:pt idx="21">
                  <c:v>1.1184388233322677</c:v>
                </c:pt>
                <c:pt idx="22">
                  <c:v>1.0935427445079926</c:v>
                </c:pt>
                <c:pt idx="23">
                  <c:v>1.0273735091394558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A4-4A61-A25E-1F2BA18F5D45}"/>
            </c:ext>
          </c:extLst>
        </c:ser>
        <c:ser>
          <c:idx val="1"/>
          <c:order val="1"/>
          <c:tx>
            <c:strRef>
              <c:f>'Diurnal flow'!$C$8</c:f>
              <c:strCache>
                <c:ptCount val="1"/>
                <c:pt idx="0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flow'!$C$10:$C$33</c:f>
              <c:numCache>
                <c:formatCode>0.0000</c:formatCode>
                <c:ptCount val="24"/>
                <c:pt idx="0">
                  <c:v>0.96185424026884847</c:v>
                </c:pt>
                <c:pt idx="1">
                  <c:v>0.89921370876578921</c:v>
                </c:pt>
                <c:pt idx="2">
                  <c:v>0.83803414027994183</c:v>
                </c:pt>
                <c:pt idx="3">
                  <c:v>0.79193387633013845</c:v>
                </c:pt>
                <c:pt idx="4">
                  <c:v>0.77242068560084842</c:v>
                </c:pt>
                <c:pt idx="5">
                  <c:v>0.78586583560162959</c:v>
                </c:pt>
                <c:pt idx="6">
                  <c:v>0.83171904194383894</c:v>
                </c:pt>
                <c:pt idx="7">
                  <c:v>0.90244790516915097</c:v>
                </c:pt>
                <c:pt idx="8">
                  <c:v>0.98523223861790488</c:v>
                </c:pt>
                <c:pt idx="9">
                  <c:v>1.064981371742608</c:v>
                </c:pt>
                <c:pt idx="10">
                  <c:v>1.1278944210319075</c:v>
                </c:pt>
                <c:pt idx="11">
                  <c:v>1.1646424903370378</c:v>
                </c:pt>
                <c:pt idx="12">
                  <c:v>1.1723552790991616</c:v>
                </c:pt>
                <c:pt idx="13">
                  <c:v>1.1549147527322359</c:v>
                </c:pt>
                <c:pt idx="14">
                  <c:v>1.1215095858021638</c:v>
                </c:pt>
                <c:pt idx="15">
                  <c:v>1.0838653402611194</c:v>
                </c:pt>
                <c:pt idx="16">
                  <c:v>1.052913521113247</c:v>
                </c:pt>
                <c:pt idx="17">
                  <c:v>1.0358049194916035</c:v>
                </c:pt>
                <c:pt idx="18">
                  <c:v>1.0340714386881515</c:v>
                </c:pt>
                <c:pt idx="19">
                  <c:v>1.0434236333328242</c:v>
                </c:pt>
                <c:pt idx="20">
                  <c:v>1.05522403529999</c:v>
                </c:pt>
                <c:pt idx="21">
                  <c:v>1.0592194116661338</c:v>
                </c:pt>
                <c:pt idx="22">
                  <c:v>1.0467713722539962</c:v>
                </c:pt>
                <c:pt idx="23">
                  <c:v>1.0136867545697279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A4-4A61-A25E-1F2BA18F5D45}"/>
            </c:ext>
          </c:extLst>
        </c:ser>
        <c:ser>
          <c:idx val="2"/>
          <c:order val="2"/>
          <c:tx>
            <c:strRef>
              <c:f>'Diurnal flow'!$D$8</c:f>
              <c:strCache>
                <c:ptCount val="1"/>
                <c:pt idx="0">
                  <c:v>large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'Diurnal flow'!$A$10:$A$33</c:f>
              <c:numCache>
                <c:formatCode>0.0000</c:formatCode>
                <c:ptCount val="24"/>
                <c:pt idx="0">
                  <c:v>0</c:v>
                </c:pt>
                <c:pt idx="1">
                  <c:v>4.1666666999999998E-2</c:v>
                </c:pt>
                <c:pt idx="2">
                  <c:v>8.3333332999999996E-2</c:v>
                </c:pt>
                <c:pt idx="3">
                  <c:v>0.125</c:v>
                </c:pt>
                <c:pt idx="4">
                  <c:v>0.16666666699999999</c:v>
                </c:pt>
                <c:pt idx="5">
                  <c:v>0.20833333300000001</c:v>
                </c:pt>
                <c:pt idx="6">
                  <c:v>0.25</c:v>
                </c:pt>
                <c:pt idx="7">
                  <c:v>0.29166666699999999</c:v>
                </c:pt>
                <c:pt idx="8">
                  <c:v>0.33333333300000001</c:v>
                </c:pt>
                <c:pt idx="9">
                  <c:v>0.375</c:v>
                </c:pt>
                <c:pt idx="10">
                  <c:v>0.41666666699999999</c:v>
                </c:pt>
                <c:pt idx="11">
                  <c:v>0.45833333300000001</c:v>
                </c:pt>
                <c:pt idx="12">
                  <c:v>0.5</c:v>
                </c:pt>
                <c:pt idx="13">
                  <c:v>0.54166666699999999</c:v>
                </c:pt>
                <c:pt idx="14">
                  <c:v>0.58333333300000001</c:v>
                </c:pt>
                <c:pt idx="15">
                  <c:v>0.625</c:v>
                </c:pt>
                <c:pt idx="16">
                  <c:v>0.66666666699999999</c:v>
                </c:pt>
                <c:pt idx="17">
                  <c:v>0.70833333300000001</c:v>
                </c:pt>
                <c:pt idx="18">
                  <c:v>0.75</c:v>
                </c:pt>
                <c:pt idx="19">
                  <c:v>0.79166666699999999</c:v>
                </c:pt>
                <c:pt idx="20">
                  <c:v>0.83333333300000001</c:v>
                </c:pt>
                <c:pt idx="21">
                  <c:v>0.875</c:v>
                </c:pt>
                <c:pt idx="22">
                  <c:v>0.91666666699999999</c:v>
                </c:pt>
                <c:pt idx="23">
                  <c:v>0.95833333300000001</c:v>
                </c:pt>
              </c:numCache>
            </c:numRef>
          </c:xVal>
          <c:yVal>
            <c:numRef>
              <c:f>'Diurnal flow'!$D$10:$D$33</c:f>
              <c:numCache>
                <c:formatCode>0.0000</c:formatCode>
                <c:ptCount val="24"/>
                <c:pt idx="0">
                  <c:v>0.98092712013442429</c:v>
                </c:pt>
                <c:pt idx="1">
                  <c:v>0.94960685438289461</c:v>
                </c:pt>
                <c:pt idx="2">
                  <c:v>0.91901707013997092</c:v>
                </c:pt>
                <c:pt idx="3">
                  <c:v>0.89596693816506923</c:v>
                </c:pt>
                <c:pt idx="4">
                  <c:v>0.88621034280042421</c:v>
                </c:pt>
                <c:pt idx="5">
                  <c:v>0.89293291780081474</c:v>
                </c:pt>
                <c:pt idx="6">
                  <c:v>0.91585952097191947</c:v>
                </c:pt>
                <c:pt idx="7">
                  <c:v>0.95122395258457548</c:v>
                </c:pt>
                <c:pt idx="8">
                  <c:v>0.99261611930895244</c:v>
                </c:pt>
                <c:pt idx="9">
                  <c:v>1.0324906858713039</c:v>
                </c:pt>
                <c:pt idx="10">
                  <c:v>1.0639472105159538</c:v>
                </c:pt>
                <c:pt idx="11">
                  <c:v>1.0823212451685189</c:v>
                </c:pt>
                <c:pt idx="12">
                  <c:v>1.0861776395495808</c:v>
                </c:pt>
                <c:pt idx="13">
                  <c:v>1.0774573763661179</c:v>
                </c:pt>
                <c:pt idx="14">
                  <c:v>1.0607547929010819</c:v>
                </c:pt>
                <c:pt idx="15">
                  <c:v>1.0419326701305596</c:v>
                </c:pt>
                <c:pt idx="16">
                  <c:v>1.0264567605566235</c:v>
                </c:pt>
                <c:pt idx="17">
                  <c:v>1.0179024597458017</c:v>
                </c:pt>
                <c:pt idx="18">
                  <c:v>1.0170357193440758</c:v>
                </c:pt>
                <c:pt idx="19">
                  <c:v>1.0217118166664121</c:v>
                </c:pt>
                <c:pt idx="20">
                  <c:v>1.027612017649995</c:v>
                </c:pt>
                <c:pt idx="21">
                  <c:v>1.0296097058330669</c:v>
                </c:pt>
                <c:pt idx="22">
                  <c:v>1.0233856861269981</c:v>
                </c:pt>
                <c:pt idx="23">
                  <c:v>1.0068433772848639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A4-4A61-A25E-1F2BA18F5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583488"/>
        <c:axId val="812583880"/>
      </c:scatterChart>
      <c:valAx>
        <c:axId val="81258348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2583880"/>
        <c:crosses val="autoZero"/>
        <c:crossBetween val="midCat"/>
      </c:valAx>
      <c:valAx>
        <c:axId val="81258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258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261937</xdr:colOff>
      <xdr:row>9</xdr:row>
      <xdr:rowOff>134538</xdr:rowOff>
    </xdr:from>
    <xdr:to>
      <xdr:col>25</xdr:col>
      <xdr:colOff>547687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9"/>
  <sheetViews>
    <sheetView showGridLines="0" showRowColHeaders="0" tabSelected="1" zoomScale="130" zoomScaleNormal="130" workbookViewId="0">
      <selection activeCell="C20" sqref="C20"/>
    </sheetView>
  </sheetViews>
  <sheetFormatPr baseColWidth="10" defaultColWidth="9.140625" defaultRowHeight="15" x14ac:dyDescent="0.25"/>
  <cols>
    <col min="1" max="1" width="4" customWidth="1"/>
    <col min="2" max="2" width="14.5703125" customWidth="1"/>
    <col min="3" max="3" width="88" customWidth="1"/>
  </cols>
  <sheetData>
    <row r="1" spans="2:3" ht="15.75" thickBot="1" x14ac:dyDescent="0.3"/>
    <row r="2" spans="2:3" ht="15.75" thickBot="1" x14ac:dyDescent="0.3">
      <c r="B2" s="157" t="s">
        <v>113</v>
      </c>
      <c r="C2" s="158" t="s">
        <v>114</v>
      </c>
    </row>
    <row r="3" spans="2:3" ht="15.75" thickBot="1" x14ac:dyDescent="0.3"/>
    <row r="4" spans="2:3" x14ac:dyDescent="0.25">
      <c r="B4" s="155" t="s">
        <v>86</v>
      </c>
      <c r="C4" s="156" t="s">
        <v>87</v>
      </c>
    </row>
    <row r="5" spans="2:3" x14ac:dyDescent="0.25">
      <c r="B5" s="163" t="s">
        <v>216</v>
      </c>
      <c r="C5" s="164" t="s">
        <v>217</v>
      </c>
    </row>
    <row r="6" spans="2:3" x14ac:dyDescent="0.25">
      <c r="B6" s="69" t="s">
        <v>85</v>
      </c>
      <c r="C6" s="153" t="s">
        <v>116</v>
      </c>
    </row>
    <row r="7" spans="2:3" x14ac:dyDescent="0.25">
      <c r="B7" s="69" t="s">
        <v>147</v>
      </c>
      <c r="C7" s="153" t="s">
        <v>106</v>
      </c>
    </row>
    <row r="8" spans="2:3" x14ac:dyDescent="0.25">
      <c r="B8" s="69" t="s">
        <v>213</v>
      </c>
      <c r="C8" s="153" t="s">
        <v>107</v>
      </c>
    </row>
    <row r="9" spans="2:3" x14ac:dyDescent="0.25">
      <c r="B9" s="69" t="s">
        <v>89</v>
      </c>
      <c r="C9" s="153" t="s">
        <v>285</v>
      </c>
    </row>
    <row r="10" spans="2:3" x14ac:dyDescent="0.25">
      <c r="B10" s="69" t="s">
        <v>178</v>
      </c>
      <c r="C10" s="153" t="s">
        <v>88</v>
      </c>
    </row>
    <row r="11" spans="2:3" ht="15.75" thickBot="1" x14ac:dyDescent="0.3">
      <c r="B11" s="70" t="s">
        <v>214</v>
      </c>
      <c r="C11" s="154" t="s">
        <v>215</v>
      </c>
    </row>
    <row r="12" spans="2:3" ht="15.75" thickBot="1" x14ac:dyDescent="0.3"/>
    <row r="13" spans="2:3" x14ac:dyDescent="0.25">
      <c r="B13" s="155" t="s">
        <v>108</v>
      </c>
      <c r="C13" s="156" t="s">
        <v>109</v>
      </c>
    </row>
    <row r="14" spans="2:3" x14ac:dyDescent="0.25">
      <c r="B14" s="159" t="s">
        <v>90</v>
      </c>
      <c r="C14" s="153" t="s">
        <v>92</v>
      </c>
    </row>
    <row r="15" spans="2:3" x14ac:dyDescent="0.25">
      <c r="B15" s="160" t="s">
        <v>91</v>
      </c>
      <c r="C15" s="153" t="s">
        <v>111</v>
      </c>
    </row>
    <row r="16" spans="2:3" x14ac:dyDescent="0.25">
      <c r="B16" s="161" t="s">
        <v>110</v>
      </c>
      <c r="C16" s="153" t="s">
        <v>112</v>
      </c>
    </row>
    <row r="17" spans="2:3" ht="15.75" thickBot="1" x14ac:dyDescent="0.3">
      <c r="B17" s="162" t="s">
        <v>169</v>
      </c>
      <c r="C17" s="154" t="s">
        <v>170</v>
      </c>
    </row>
    <row r="18" spans="2:3" ht="15.75" thickBot="1" x14ac:dyDescent="0.3"/>
    <row r="19" spans="2:3" ht="15.75" thickBot="1" x14ac:dyDescent="0.3">
      <c r="B19" s="157" t="s">
        <v>155</v>
      </c>
      <c r="C19" s="165" t="s">
        <v>299</v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1"/>
  <sheetViews>
    <sheetView showGridLines="0" zoomScaleNormal="100" workbookViewId="0">
      <selection activeCell="A2" sqref="A2"/>
    </sheetView>
  </sheetViews>
  <sheetFormatPr baseColWidth="10" defaultColWidth="9.140625" defaultRowHeight="15" x14ac:dyDescent="0.25"/>
  <cols>
    <col min="1" max="1" width="4.7109375" style="75" customWidth="1"/>
    <col min="2" max="2" width="31" style="75" customWidth="1"/>
    <col min="3" max="3" width="16.140625" style="75" customWidth="1"/>
    <col min="4" max="4" width="13.85546875" style="75" customWidth="1"/>
    <col min="5" max="5" width="9.140625" style="75"/>
    <col min="6" max="6" width="38.5703125" style="74" customWidth="1"/>
    <col min="7" max="7" width="11.5703125" style="74" bestFit="1" customWidth="1"/>
    <col min="8" max="8" width="17.28515625" style="74" customWidth="1"/>
    <col min="9" max="9" width="18.140625" style="74" customWidth="1"/>
    <col min="10" max="11" width="9.140625" style="75"/>
    <col min="12" max="12" width="13.42578125" style="75" bestFit="1" customWidth="1"/>
    <col min="13" max="13" width="59.5703125" style="75" customWidth="1"/>
    <col min="14" max="14" width="21.140625" style="75" customWidth="1"/>
    <col min="15" max="16384" width="9.140625" style="75"/>
  </cols>
  <sheetData>
    <row r="1" spans="2:15" ht="15.75" thickBot="1" x14ac:dyDescent="0.3"/>
    <row r="2" spans="2:15" ht="18.75" customHeight="1" thickBot="1" x14ac:dyDescent="0.3">
      <c r="B2" s="238" t="s">
        <v>69</v>
      </c>
      <c r="C2" s="215" t="s">
        <v>62</v>
      </c>
      <c r="D2" s="216" t="s">
        <v>1</v>
      </c>
      <c r="F2" s="235" t="s">
        <v>164</v>
      </c>
      <c r="G2" s="228" t="s">
        <v>62</v>
      </c>
      <c r="H2" s="228" t="s">
        <v>1</v>
      </c>
      <c r="I2" s="229" t="s">
        <v>159</v>
      </c>
    </row>
    <row r="3" spans="2:15" ht="18.75" customHeight="1" x14ac:dyDescent="0.25">
      <c r="B3" s="230" t="s">
        <v>61</v>
      </c>
      <c r="C3" s="231">
        <v>24000</v>
      </c>
      <c r="D3" s="209" t="s">
        <v>166</v>
      </c>
      <c r="F3" s="232"/>
      <c r="G3" s="233"/>
      <c r="H3" s="233"/>
      <c r="I3" s="234"/>
    </row>
    <row r="4" spans="2:15" ht="18.75" customHeight="1" x14ac:dyDescent="0.25">
      <c r="B4" s="126" t="s">
        <v>65</v>
      </c>
      <c r="C4" s="26">
        <v>185</v>
      </c>
      <c r="D4" s="78" t="s">
        <v>68</v>
      </c>
      <c r="F4" s="263" t="s">
        <v>283</v>
      </c>
      <c r="G4" s="110">
        <f>C5/C4*100</f>
        <v>84.86486486486487</v>
      </c>
      <c r="H4" s="79" t="s">
        <v>144</v>
      </c>
      <c r="I4" s="130">
        <v>85</v>
      </c>
    </row>
    <row r="5" spans="2:15" ht="18.75" customHeight="1" x14ac:dyDescent="0.25">
      <c r="B5" s="126" t="s">
        <v>66</v>
      </c>
      <c r="C5" s="26">
        <v>157</v>
      </c>
      <c r="D5" s="78" t="s">
        <v>68</v>
      </c>
      <c r="F5" s="131" t="s">
        <v>165</v>
      </c>
      <c r="G5" s="132">
        <f>(C14-C15)/C5</f>
        <v>1.5923566878980893</v>
      </c>
      <c r="H5" s="133" t="s">
        <v>181</v>
      </c>
      <c r="I5" s="130">
        <v>1.6</v>
      </c>
    </row>
    <row r="6" spans="2:15" ht="18.75" customHeight="1" x14ac:dyDescent="0.25">
      <c r="B6" s="134" t="s">
        <v>293</v>
      </c>
      <c r="C6" s="27">
        <v>800</v>
      </c>
      <c r="D6" s="135" t="s">
        <v>68</v>
      </c>
      <c r="E6" s="136"/>
      <c r="F6" s="137" t="s">
        <v>294</v>
      </c>
      <c r="G6" s="138">
        <f>C6-C4</f>
        <v>615</v>
      </c>
      <c r="H6" s="139" t="s">
        <v>68</v>
      </c>
      <c r="I6" s="140"/>
    </row>
    <row r="7" spans="2:15" ht="18.75" customHeight="1" x14ac:dyDescent="0.25">
      <c r="B7" s="126" t="s">
        <v>29</v>
      </c>
      <c r="C7" s="26">
        <v>34.4</v>
      </c>
      <c r="D7" s="78" t="s">
        <v>196</v>
      </c>
      <c r="F7" s="141"/>
      <c r="G7" s="129"/>
      <c r="H7" s="93"/>
      <c r="I7" s="130"/>
    </row>
    <row r="8" spans="2:15" ht="18.75" customHeight="1" x14ac:dyDescent="0.25">
      <c r="B8" s="126" t="s">
        <v>64</v>
      </c>
      <c r="C8" s="26">
        <v>4.3</v>
      </c>
      <c r="D8" s="78" t="s">
        <v>67</v>
      </c>
      <c r="F8" s="141"/>
      <c r="G8" s="129"/>
      <c r="H8" s="93"/>
      <c r="I8" s="130"/>
    </row>
    <row r="9" spans="2:15" ht="18.75" customHeight="1" x14ac:dyDescent="0.25">
      <c r="B9" s="134" t="s">
        <v>83</v>
      </c>
      <c r="C9" s="27">
        <v>20</v>
      </c>
      <c r="D9" s="135" t="s">
        <v>84</v>
      </c>
      <c r="E9" s="142"/>
      <c r="F9" s="137"/>
      <c r="G9" s="143"/>
      <c r="H9" s="139"/>
      <c r="I9" s="140"/>
    </row>
    <row r="10" spans="2:15" s="80" customFormat="1" ht="18.75" customHeight="1" x14ac:dyDescent="0.25">
      <c r="B10" s="76" t="s">
        <v>31</v>
      </c>
      <c r="C10" s="26">
        <v>330</v>
      </c>
      <c r="D10" s="78" t="s">
        <v>256</v>
      </c>
      <c r="F10" s="128" t="s">
        <v>103</v>
      </c>
      <c r="G10" s="110">
        <f>C10/50</f>
        <v>6.6</v>
      </c>
      <c r="H10" s="144" t="s">
        <v>74</v>
      </c>
      <c r="I10" s="145" t="s">
        <v>156</v>
      </c>
      <c r="L10" s="75"/>
      <c r="M10" s="75"/>
      <c r="N10" s="75"/>
      <c r="O10" s="75"/>
    </row>
    <row r="11" spans="2:15" ht="18.75" customHeight="1" thickBot="1" x14ac:dyDescent="0.3">
      <c r="B11" s="81" t="s">
        <v>32</v>
      </c>
      <c r="C11" s="28">
        <v>7.2</v>
      </c>
      <c r="D11" s="83" t="s">
        <v>33</v>
      </c>
      <c r="F11" s="239"/>
      <c r="G11" s="236"/>
      <c r="H11" s="240"/>
      <c r="I11" s="237"/>
    </row>
    <row r="12" spans="2:15" ht="18.75" customHeight="1" thickBot="1" x14ac:dyDescent="0.3">
      <c r="C12" s="74"/>
      <c r="D12" s="74"/>
      <c r="F12" s="75"/>
      <c r="G12" s="75"/>
      <c r="H12" s="75"/>
      <c r="I12" s="75"/>
    </row>
    <row r="13" spans="2:15" ht="18.75" customHeight="1" thickBot="1" x14ac:dyDescent="0.3">
      <c r="B13" s="227" t="s">
        <v>73</v>
      </c>
      <c r="C13" s="215" t="s">
        <v>62</v>
      </c>
      <c r="D13" s="216" t="s">
        <v>1</v>
      </c>
      <c r="F13" s="227" t="s">
        <v>252</v>
      </c>
      <c r="G13" s="228" t="s">
        <v>62</v>
      </c>
      <c r="H13" s="228" t="s">
        <v>1</v>
      </c>
      <c r="I13" s="229" t="s">
        <v>159</v>
      </c>
    </row>
    <row r="14" spans="2:15" ht="18.75" customHeight="1" x14ac:dyDescent="0.25">
      <c r="B14" s="184" t="s">
        <v>80</v>
      </c>
      <c r="C14" s="185">
        <v>420</v>
      </c>
      <c r="D14" s="186" t="s">
        <v>95</v>
      </c>
      <c r="F14" s="189" t="s">
        <v>163</v>
      </c>
      <c r="G14" s="282">
        <f>C14-C15</f>
        <v>250</v>
      </c>
      <c r="H14" s="283" t="s">
        <v>95</v>
      </c>
      <c r="I14" s="148"/>
    </row>
    <row r="15" spans="2:15" ht="18.75" customHeight="1" x14ac:dyDescent="0.25">
      <c r="B15" s="126" t="s">
        <v>79</v>
      </c>
      <c r="C15" s="26">
        <v>170</v>
      </c>
      <c r="D15" s="78" t="s">
        <v>95</v>
      </c>
      <c r="F15" s="128" t="s">
        <v>75</v>
      </c>
      <c r="G15" s="110">
        <f>C15/C14*100</f>
        <v>40.476190476190474</v>
      </c>
      <c r="H15" s="79" t="s">
        <v>144</v>
      </c>
      <c r="I15" s="130">
        <v>40</v>
      </c>
    </row>
    <row r="16" spans="2:15" ht="18.75" customHeight="1" x14ac:dyDescent="0.25">
      <c r="B16" s="126" t="s">
        <v>78</v>
      </c>
      <c r="C16" s="26">
        <v>85</v>
      </c>
      <c r="D16" s="78" t="s">
        <v>95</v>
      </c>
      <c r="F16" s="128" t="s">
        <v>99</v>
      </c>
      <c r="G16" s="110">
        <f>C16/C14*100</f>
        <v>20.238095238095237</v>
      </c>
      <c r="H16" s="79" t="s">
        <v>144</v>
      </c>
      <c r="I16" s="130">
        <v>20</v>
      </c>
    </row>
    <row r="17" spans="2:9" ht="18.75" customHeight="1" x14ac:dyDescent="0.25">
      <c r="B17" s="126" t="s">
        <v>81</v>
      </c>
      <c r="C17" s="26">
        <v>20</v>
      </c>
      <c r="D17" s="78" t="s">
        <v>95</v>
      </c>
      <c r="F17" s="131" t="s">
        <v>171</v>
      </c>
      <c r="G17" s="110">
        <f>C17/C15*100</f>
        <v>11.76470588235294</v>
      </c>
      <c r="H17" s="79" t="s">
        <v>144</v>
      </c>
      <c r="I17" s="277" t="s">
        <v>292</v>
      </c>
    </row>
    <row r="18" spans="2:9" ht="18.75" customHeight="1" thickBot="1" x14ac:dyDescent="0.3">
      <c r="B18" s="146" t="s">
        <v>180</v>
      </c>
      <c r="C18" s="28">
        <v>200</v>
      </c>
      <c r="D18" s="83" t="s">
        <v>255</v>
      </c>
      <c r="F18" s="128" t="s">
        <v>82</v>
      </c>
      <c r="G18" s="129">
        <f>C14/C18</f>
        <v>2.1</v>
      </c>
      <c r="H18" s="79" t="s">
        <v>33</v>
      </c>
      <c r="I18" s="130">
        <v>2.2000000000000002</v>
      </c>
    </row>
    <row r="19" spans="2:9" ht="18.75" customHeight="1" thickBot="1" x14ac:dyDescent="0.3">
      <c r="B19" s="279"/>
      <c r="C19" s="278"/>
      <c r="D19" s="117"/>
      <c r="F19" s="284" t="s">
        <v>295</v>
      </c>
      <c r="G19" s="236">
        <f>C18/C4</f>
        <v>1.0810810810810811</v>
      </c>
      <c r="H19" s="82" t="s">
        <v>33</v>
      </c>
      <c r="I19" s="237">
        <v>1.1000000000000001</v>
      </c>
    </row>
    <row r="20" spans="2:9" ht="18.75" customHeight="1" thickBot="1" x14ac:dyDescent="0.3">
      <c r="B20" s="147"/>
      <c r="C20" s="87"/>
      <c r="D20" s="87"/>
      <c r="F20" s="75"/>
      <c r="G20" s="75"/>
      <c r="H20" s="75"/>
      <c r="I20" s="75"/>
    </row>
    <row r="21" spans="2:9" ht="18.75" customHeight="1" thickBot="1" x14ac:dyDescent="0.3">
      <c r="B21" s="183" t="s">
        <v>76</v>
      </c>
      <c r="C21" s="103" t="s">
        <v>62</v>
      </c>
      <c r="D21" s="104" t="s">
        <v>1</v>
      </c>
      <c r="F21" s="183" t="s">
        <v>251</v>
      </c>
      <c r="G21" s="101" t="s">
        <v>62</v>
      </c>
      <c r="H21" s="101" t="s">
        <v>1</v>
      </c>
      <c r="I21" s="125" t="s">
        <v>159</v>
      </c>
    </row>
    <row r="22" spans="2:9" ht="18.75" customHeight="1" x14ac:dyDescent="0.25">
      <c r="B22" s="184" t="s">
        <v>70</v>
      </c>
      <c r="C22" s="185">
        <v>20</v>
      </c>
      <c r="D22" s="186" t="s">
        <v>95</v>
      </c>
      <c r="F22" s="189" t="s">
        <v>37</v>
      </c>
      <c r="G22" s="108">
        <f>C22/C15*100</f>
        <v>11.76470588235294</v>
      </c>
      <c r="H22" s="190" t="s">
        <v>144</v>
      </c>
      <c r="I22" s="280" t="s">
        <v>296</v>
      </c>
    </row>
    <row r="23" spans="2:9" ht="18.75" customHeight="1" x14ac:dyDescent="0.25">
      <c r="B23" s="126" t="s">
        <v>71</v>
      </c>
      <c r="C23" s="26">
        <v>24</v>
      </c>
      <c r="D23" s="78" t="s">
        <v>196</v>
      </c>
      <c r="F23" s="131" t="s">
        <v>167</v>
      </c>
      <c r="G23" s="110">
        <f>C23/C7*100</f>
        <v>69.767441860465112</v>
      </c>
      <c r="H23" s="79" t="s">
        <v>144</v>
      </c>
      <c r="I23" s="277" t="s">
        <v>297</v>
      </c>
    </row>
    <row r="24" spans="2:9" ht="18.75" customHeight="1" x14ac:dyDescent="0.25">
      <c r="B24" s="126" t="s">
        <v>72</v>
      </c>
      <c r="C24" s="26">
        <v>2.5</v>
      </c>
      <c r="D24" s="78" t="s">
        <v>197</v>
      </c>
      <c r="F24" s="131" t="s">
        <v>168</v>
      </c>
      <c r="G24" s="110">
        <f>C24/C8*100</f>
        <v>58.139534883720934</v>
      </c>
      <c r="H24" s="79" t="s">
        <v>144</v>
      </c>
      <c r="I24" s="277" t="s">
        <v>298</v>
      </c>
    </row>
    <row r="25" spans="2:9" ht="18.75" customHeight="1" x14ac:dyDescent="0.25">
      <c r="B25" s="126" t="s">
        <v>77</v>
      </c>
      <c r="C25" s="26">
        <v>0</v>
      </c>
      <c r="D25" s="78" t="s">
        <v>196</v>
      </c>
      <c r="F25" s="127"/>
      <c r="G25" s="149"/>
      <c r="H25" s="93"/>
      <c r="I25" s="150"/>
    </row>
    <row r="26" spans="2:9" ht="18.75" customHeight="1" x14ac:dyDescent="0.25">
      <c r="B26" s="187" t="s">
        <v>157</v>
      </c>
      <c r="C26" s="29">
        <v>150</v>
      </c>
      <c r="D26" s="151" t="s">
        <v>68</v>
      </c>
      <c r="F26" s="127"/>
      <c r="G26" s="149"/>
      <c r="H26" s="93"/>
      <c r="I26" s="191"/>
    </row>
    <row r="27" spans="2:9" ht="18.75" customHeight="1" thickBot="1" x14ac:dyDescent="0.3">
      <c r="B27" s="89" t="s">
        <v>19</v>
      </c>
      <c r="C27" s="29">
        <v>15</v>
      </c>
      <c r="D27" s="151" t="s">
        <v>68</v>
      </c>
      <c r="F27" s="81" t="s">
        <v>182</v>
      </c>
      <c r="G27" s="113">
        <f>G6-C26-C27-C25-C24-C28</f>
        <v>431.5</v>
      </c>
      <c r="H27" s="92" t="s">
        <v>68</v>
      </c>
      <c r="I27" s="241" t="s">
        <v>228</v>
      </c>
    </row>
    <row r="28" spans="2:9" ht="18.75" customHeight="1" x14ac:dyDescent="0.25">
      <c r="B28" s="89" t="s">
        <v>237</v>
      </c>
      <c r="C28" s="29">
        <v>16</v>
      </c>
      <c r="D28" s="151" t="s">
        <v>68</v>
      </c>
      <c r="F28" s="116"/>
      <c r="G28" s="225"/>
      <c r="H28" s="117"/>
      <c r="I28" s="226"/>
    </row>
    <row r="29" spans="2:9" ht="18.75" customHeight="1" x14ac:dyDescent="0.25">
      <c r="B29" s="223" t="s">
        <v>229</v>
      </c>
      <c r="C29" s="224">
        <v>300</v>
      </c>
      <c r="D29" s="151" t="s">
        <v>68</v>
      </c>
      <c r="F29" s="75"/>
      <c r="G29" s="75"/>
      <c r="H29" s="75"/>
      <c r="I29" s="75"/>
    </row>
    <row r="30" spans="2:9" ht="18.75" customHeight="1" thickBot="1" x14ac:dyDescent="0.3">
      <c r="B30" s="188" t="s">
        <v>250</v>
      </c>
      <c r="C30" s="30">
        <v>110</v>
      </c>
      <c r="D30" s="152" t="s">
        <v>68</v>
      </c>
      <c r="F30" s="75"/>
      <c r="G30" s="75"/>
      <c r="H30" s="75"/>
      <c r="I30" s="75"/>
    </row>
    <row r="31" spans="2:9" ht="18.75" customHeight="1" x14ac:dyDescent="0.25"/>
  </sheetData>
  <sheetProtection selectLockedCells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showGridLines="0" workbookViewId="0">
      <selection activeCell="D12" sqref="D12"/>
    </sheetView>
  </sheetViews>
  <sheetFormatPr baseColWidth="10" defaultColWidth="9.140625" defaultRowHeight="18.75" customHeight="1" x14ac:dyDescent="0.25"/>
  <cols>
    <col min="1" max="1" width="4" style="99" customWidth="1"/>
    <col min="2" max="2" width="48" style="99" customWidth="1"/>
    <col min="3" max="3" width="13.28515625" style="99" customWidth="1"/>
    <col min="4" max="4" width="20.7109375" style="99" customWidth="1"/>
    <col min="5" max="5" width="7.140625" style="99" customWidth="1"/>
    <col min="6" max="6" width="40.7109375" style="99" customWidth="1"/>
    <col min="7" max="7" width="14.7109375" style="99" customWidth="1"/>
    <col min="8" max="8" width="20.7109375" style="99" customWidth="1"/>
    <col min="9" max="9" width="17.85546875" style="99" customWidth="1"/>
    <col min="10" max="16384" width="9.140625" style="99"/>
  </cols>
  <sheetData>
    <row r="1" spans="2:9" ht="18.75" customHeight="1" thickBot="1" x14ac:dyDescent="0.3">
      <c r="D1" s="100"/>
    </row>
    <row r="2" spans="2:9" ht="33.75" customHeight="1" thickBot="1" x14ac:dyDescent="0.3">
      <c r="B2" s="214" t="s">
        <v>161</v>
      </c>
      <c r="C2" s="228" t="s">
        <v>281</v>
      </c>
      <c r="D2" s="216" t="s">
        <v>284</v>
      </c>
      <c r="F2" s="102" t="s">
        <v>148</v>
      </c>
      <c r="G2" s="103" t="s">
        <v>98</v>
      </c>
      <c r="H2" s="103" t="s">
        <v>97</v>
      </c>
      <c r="I2" s="104" t="s">
        <v>154</v>
      </c>
    </row>
    <row r="3" spans="2:9" ht="18.75" customHeight="1" x14ac:dyDescent="0.25">
      <c r="B3" s="206" t="s">
        <v>206</v>
      </c>
      <c r="C3" s="213">
        <v>40.5</v>
      </c>
      <c r="D3" s="264">
        <f>Data!G15</f>
        <v>40.476190476190474</v>
      </c>
      <c r="F3" s="106" t="s">
        <v>80</v>
      </c>
      <c r="G3" s="107">
        <f>Data!C14</f>
        <v>420</v>
      </c>
      <c r="H3" s="108">
        <f>G3</f>
        <v>420</v>
      </c>
      <c r="I3" s="109" t="str">
        <f>IF(ABS((H3-G3)/H3)&lt;Calculations!$C$13,Calculations!$C$12,IF(ABS((H3-G3)/H3)&gt;Calculations!$E$13,Calculations!$E$12,Calculations!$D$12))</f>
        <v>good match</v>
      </c>
    </row>
    <row r="4" spans="2:9" ht="18.75" customHeight="1" x14ac:dyDescent="0.25">
      <c r="B4" s="76" t="s">
        <v>205</v>
      </c>
      <c r="C4" s="77">
        <v>20.2</v>
      </c>
      <c r="D4" s="265">
        <f>Data!G16</f>
        <v>20.238095238095237</v>
      </c>
      <c r="F4" s="76" t="s">
        <v>100</v>
      </c>
      <c r="G4" s="77">
        <f>Data!C15</f>
        <v>170</v>
      </c>
      <c r="H4" s="110">
        <f>G3*D3/100</f>
        <v>170</v>
      </c>
      <c r="I4" s="111" t="str">
        <f>IF(ABS((H4-G4)/H4)&lt;Calculations!$C$13,Calculations!$C$12,IF(ABS((H4-G4)/H4)&gt;Calculations!$E$13,Calculations!$E$12,Calculations!$D$12))</f>
        <v>good match</v>
      </c>
    </row>
    <row r="5" spans="2:9" ht="18.75" customHeight="1" x14ac:dyDescent="0.25">
      <c r="B5" s="76" t="s">
        <v>37</v>
      </c>
      <c r="C5" s="77">
        <v>11.8</v>
      </c>
      <c r="D5" s="265">
        <f>Data!G22</f>
        <v>11.76470588235294</v>
      </c>
      <c r="F5" s="76" t="s">
        <v>101</v>
      </c>
      <c r="G5" s="77">
        <f>Data!C16</f>
        <v>85</v>
      </c>
      <c r="H5" s="110">
        <f>G3*D4/100</f>
        <v>85</v>
      </c>
      <c r="I5" s="111" t="str">
        <f>IF(ABS((H5-G5)/H5)&lt;Calculations!$C$13,Calculations!$C$12,IF(ABS((H5-G5)/H5)&gt;Calculations!$E$13,Calculations!$E$12,Calculations!$D$12))</f>
        <v>good match</v>
      </c>
    </row>
    <row r="6" spans="2:9" ht="18.75" customHeight="1" thickBot="1" x14ac:dyDescent="0.3">
      <c r="B6" s="81" t="s">
        <v>38</v>
      </c>
      <c r="C6" s="112">
        <v>11.8</v>
      </c>
      <c r="D6" s="266">
        <f>Data!G17</f>
        <v>11.76470588235294</v>
      </c>
      <c r="F6" s="76" t="s">
        <v>102</v>
      </c>
      <c r="G6" s="77">
        <f>Data!C18</f>
        <v>200</v>
      </c>
      <c r="H6" s="110">
        <f>Calculations!D7</f>
        <v>197.6</v>
      </c>
      <c r="I6" s="111" t="str">
        <f>IF(ABS((H6-G6)/H6)&lt;Calculations!$C$14,Calculations!$C$12,IF(ABS((H6-G6)/H6)&gt;Calculations!$E$14,Calculations!$E$12,Calculations!$D$12))</f>
        <v>good match</v>
      </c>
    </row>
    <row r="7" spans="2:9" ht="18.75" customHeight="1" thickBot="1" x14ac:dyDescent="0.3">
      <c r="F7" s="76" t="s">
        <v>65</v>
      </c>
      <c r="G7" s="77">
        <f>Data!C4</f>
        <v>185</v>
      </c>
      <c r="H7" s="110">
        <f>H8/Data!G4*100</f>
        <v>182.96645842794658</v>
      </c>
      <c r="I7" s="111" t="str">
        <f>IF(ABS((H7-G7)/H7)&lt;Calculations!$C$15,Calculations!$C$12,IF(ABS((H7-G7)/H7)&gt;Calculations!$E$15,Calculations!$E$12,Calculations!$D$12))</f>
        <v>good match</v>
      </c>
    </row>
    <row r="8" spans="2:9" ht="18.75" customHeight="1" thickBot="1" x14ac:dyDescent="0.3">
      <c r="B8" s="102" t="s">
        <v>162</v>
      </c>
      <c r="C8" s="193" t="s">
        <v>281</v>
      </c>
      <c r="D8" s="104" t="s">
        <v>282</v>
      </c>
      <c r="F8" s="81" t="s">
        <v>66</v>
      </c>
      <c r="G8" s="112">
        <f>Data!C5</f>
        <v>157</v>
      </c>
      <c r="H8" s="113">
        <f>(SUM(Balances!C15:C19)+Balances!C10)/D19+Balances!C6/D20+Balances!C9/D21+Balances!C11/D22+Balances!C20/D23</f>
        <v>155.27423769290601</v>
      </c>
      <c r="I8" s="114" t="str">
        <f>IF(ABS((H8-G8)/H8)&lt;Calculations!$C$15,Calculations!$C$12,IF(ABS((H8-G8)/H8)&gt;Calculations!$E$15,Calculations!$E$12,Calculations!$D$12))</f>
        <v>good match</v>
      </c>
    </row>
    <row r="9" spans="2:9" ht="18.75" customHeight="1" x14ac:dyDescent="0.25">
      <c r="B9" s="106" t="s">
        <v>39</v>
      </c>
      <c r="C9" s="194">
        <v>14</v>
      </c>
      <c r="D9" s="195">
        <v>14</v>
      </c>
    </row>
    <row r="10" spans="2:9" ht="18.75" customHeight="1" thickBot="1" x14ac:dyDescent="0.3">
      <c r="B10" s="76" t="s">
        <v>207</v>
      </c>
      <c r="C10" s="105">
        <v>5</v>
      </c>
      <c r="D10" s="97">
        <v>5</v>
      </c>
    </row>
    <row r="11" spans="2:9" ht="18.75" customHeight="1" thickBot="1" x14ac:dyDescent="0.3">
      <c r="B11" s="76" t="s">
        <v>160</v>
      </c>
      <c r="C11" s="105">
        <v>20</v>
      </c>
      <c r="D11" s="97">
        <v>20</v>
      </c>
      <c r="F11" s="214" t="s">
        <v>89</v>
      </c>
      <c r="G11" s="297" t="s">
        <v>280</v>
      </c>
      <c r="H11" s="297"/>
      <c r="I11" s="298"/>
    </row>
    <row r="12" spans="2:9" ht="28.5" customHeight="1" x14ac:dyDescent="0.25">
      <c r="B12" s="76" t="s">
        <v>115</v>
      </c>
      <c r="C12" s="105">
        <v>20</v>
      </c>
      <c r="D12" s="97">
        <v>20</v>
      </c>
      <c r="F12" s="206" t="s">
        <v>63</v>
      </c>
      <c r="G12" s="299" t="str">
        <f>IF(Balances!C6&gt;0,"OK", "No, please check the data (Total COD, FilteredCOD and Filtered flocculated COD) and the fractions")</f>
        <v>OK</v>
      </c>
      <c r="H12" s="299"/>
      <c r="I12" s="300"/>
    </row>
    <row r="13" spans="2:9" ht="26.25" customHeight="1" x14ac:dyDescent="0.25">
      <c r="B13" s="196" t="s">
        <v>220</v>
      </c>
      <c r="C13" s="105">
        <v>4</v>
      </c>
      <c r="D13" s="97">
        <v>4</v>
      </c>
      <c r="F13" s="76" t="s">
        <v>29</v>
      </c>
      <c r="G13" s="301" t="str">
        <f>IF(Balances!G10&gt;0,"OK", "No, please check the data (TKN, Ammonia) and the fractions")</f>
        <v>OK</v>
      </c>
      <c r="H13" s="301"/>
      <c r="I13" s="302"/>
    </row>
    <row r="14" spans="2:9" ht="18.75" customHeight="1" thickBot="1" x14ac:dyDescent="0.3">
      <c r="B14" s="196" t="s">
        <v>221</v>
      </c>
      <c r="C14" s="105">
        <v>1</v>
      </c>
      <c r="D14" s="97">
        <v>1</v>
      </c>
      <c r="F14" s="81" t="s">
        <v>64</v>
      </c>
      <c r="G14" s="303" t="str">
        <f>IF(Balances!G22&gt;0,"OK", "No, please check the data (TP, Phosphates) and the fractions")</f>
        <v>OK</v>
      </c>
      <c r="H14" s="303"/>
      <c r="I14" s="304"/>
    </row>
    <row r="15" spans="2:9" ht="18.75" customHeight="1" x14ac:dyDescent="0.25">
      <c r="B15" s="196" t="s">
        <v>222</v>
      </c>
      <c r="C15" s="105">
        <v>1</v>
      </c>
      <c r="D15" s="97">
        <v>1</v>
      </c>
    </row>
    <row r="16" spans="2:9" ht="18.75" customHeight="1" thickBot="1" x14ac:dyDescent="0.3">
      <c r="B16" s="197" t="s">
        <v>223</v>
      </c>
      <c r="C16" s="115">
        <v>0.1</v>
      </c>
      <c r="D16" s="98">
        <v>0.1</v>
      </c>
    </row>
    <row r="17" spans="2:9" ht="18.75" customHeight="1" thickBot="1" x14ac:dyDescent="0.3">
      <c r="B17" s="116"/>
      <c r="C17" s="117"/>
      <c r="D17" s="118"/>
    </row>
    <row r="18" spans="2:9" ht="27.75" customHeight="1" thickBot="1" x14ac:dyDescent="0.3">
      <c r="B18" s="102" t="s">
        <v>210</v>
      </c>
      <c r="C18" s="193" t="s">
        <v>25</v>
      </c>
      <c r="D18" s="104" t="s">
        <v>158</v>
      </c>
      <c r="F18" s="177" t="s">
        <v>172</v>
      </c>
      <c r="G18" s="103" t="s">
        <v>173</v>
      </c>
      <c r="H18" s="103" t="s">
        <v>174</v>
      </c>
      <c r="I18" s="104" t="s">
        <v>154</v>
      </c>
    </row>
    <row r="19" spans="2:9" ht="18.75" customHeight="1" x14ac:dyDescent="0.25">
      <c r="B19" s="275" t="s">
        <v>209</v>
      </c>
      <c r="C19" s="194">
        <v>1.42</v>
      </c>
      <c r="D19" s="276">
        <v>1.42</v>
      </c>
      <c r="F19" s="285" t="s">
        <v>179</v>
      </c>
      <c r="G19" s="288">
        <f>Data!G5</f>
        <v>1.5923566878980893</v>
      </c>
      <c r="H19" s="291">
        <f>(D19*(SUM(Balances!C15:C19)+Balances!C10)+D20*Balances!C6+D21*Balances!C9+D22*Balances!C11)/((SUM(Balances!C15:C19)+Balances!C10)+Balances!C6+Balances!C9+Balances!C11)</f>
        <v>1.6433297331893277</v>
      </c>
      <c r="I19" s="294" t="str">
        <f>IF(ABS((G19-H19)/H19)&lt;Calculations!$C$13,Calculations!$C$12,IF(ABS((G19-H19)/H19)&gt;Calculations!$E$13,Calculations!$E$12,Calculations!$D$12))</f>
        <v>good match</v>
      </c>
    </row>
    <row r="20" spans="2:9" ht="33" customHeight="1" x14ac:dyDescent="0.25">
      <c r="B20" s="119" t="s">
        <v>208</v>
      </c>
      <c r="C20" s="105">
        <v>1.8</v>
      </c>
      <c r="D20" s="95">
        <v>1.8</v>
      </c>
      <c r="F20" s="286"/>
      <c r="G20" s="289"/>
      <c r="H20" s="292"/>
      <c r="I20" s="295"/>
    </row>
    <row r="21" spans="2:9" ht="18.75" customHeight="1" x14ac:dyDescent="0.25">
      <c r="B21" s="119" t="s">
        <v>211</v>
      </c>
      <c r="C21" s="105">
        <v>1.3</v>
      </c>
      <c r="D21" s="94">
        <v>1.3</v>
      </c>
      <c r="F21" s="286"/>
      <c r="G21" s="289"/>
      <c r="H21" s="292"/>
      <c r="I21" s="295"/>
    </row>
    <row r="22" spans="2:9" ht="18.75" customHeight="1" thickBot="1" x14ac:dyDescent="0.3">
      <c r="B22" s="119" t="s">
        <v>212</v>
      </c>
      <c r="C22" s="105">
        <v>1.42</v>
      </c>
      <c r="D22" s="94">
        <v>1.42</v>
      </c>
      <c r="F22" s="287"/>
      <c r="G22" s="290"/>
      <c r="H22" s="293"/>
      <c r="I22" s="296"/>
    </row>
    <row r="23" spans="2:9" ht="18.75" customHeight="1" thickBot="1" x14ac:dyDescent="0.3">
      <c r="B23" s="199" t="s">
        <v>232</v>
      </c>
      <c r="C23" s="200">
        <v>1.67</v>
      </c>
      <c r="D23" s="96">
        <v>1.67</v>
      </c>
    </row>
    <row r="26" spans="2:9" ht="18.75" customHeight="1" x14ac:dyDescent="0.25">
      <c r="C26" s="120"/>
      <c r="D26" s="120"/>
    </row>
  </sheetData>
  <mergeCells count="8">
    <mergeCell ref="F19:F22"/>
    <mergeCell ref="G19:G22"/>
    <mergeCell ref="H19:H22"/>
    <mergeCell ref="I19:I22"/>
    <mergeCell ref="G11:I11"/>
    <mergeCell ref="G12:I12"/>
    <mergeCell ref="G13:I13"/>
    <mergeCell ref="G14:I14"/>
  </mergeCells>
  <conditionalFormatting sqref="G12:I14">
    <cfRule type="cellIs" dxfId="15" priority="1" operator="equal">
      <formula>"OK"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3360C55C-806C-4825-B78B-99E52CD66826}">
            <xm:f>NOT(ISERROR(SEARCH(Calculations!$E$12,I3)))</xm:f>
            <xm:f>Calculations!$E$12</xm:f>
            <x14:dxf>
              <fill>
                <patternFill>
                  <bgColor rgb="FFFF3300"/>
                </patternFill>
              </fill>
            </x14:dxf>
          </x14:cfRule>
          <x14:cfRule type="containsText" priority="24" operator="containsText" id="{C082239F-23E1-4964-8CC1-63D67EE6E0CD}">
            <xm:f>NOT(ISERROR(SEARCH(Calculations!$D$12,I3)))</xm:f>
            <xm:f>Calculations!$D$12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25" operator="containsText" id="{1B3D0A93-CA5C-46AD-91AC-3E2916A03A82}">
            <xm:f>NOT(ISERROR(SEARCH(Calculations!$C$12,I3)))</xm:f>
            <xm:f>Calculations!$C$12</xm:f>
            <x14:dxf>
              <fill>
                <patternFill>
                  <bgColor theme="9" tint="0.39994506668294322"/>
                </patternFill>
              </fill>
            </x14:dxf>
          </x14:cfRule>
          <xm:sqref>K7 I3:I8</xm:sqref>
        </x14:conditionalFormatting>
        <x14:conditionalFormatting xmlns:xm="http://schemas.microsoft.com/office/excel/2006/main">
          <x14:cfRule type="containsText" priority="17" operator="containsText" id="{1BA10E23-7A82-4660-B025-C200E81201A4}">
            <xm:f>NOT(ISERROR(SEARCH(Calculations!$E$12,I19)))</xm:f>
            <xm:f>Calculations!$E$12</xm:f>
            <x14:dxf>
              <fill>
                <patternFill>
                  <bgColor rgb="FFFF3300"/>
                </patternFill>
              </fill>
            </x14:dxf>
          </x14:cfRule>
          <x14:cfRule type="containsText" priority="18" operator="containsText" id="{12862939-D004-4A51-BF9C-1CAD5E4D78CC}">
            <xm:f>NOT(ISERROR(SEARCH(Calculations!$D$12,I19)))</xm:f>
            <xm:f>Calculations!$D$12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19" operator="containsText" id="{0B8515C4-ED28-473E-B0A4-3B2C129DF418}">
            <xm:f>NOT(ISERROR(SEARCH(Calculations!$C$12,I19)))</xm:f>
            <xm:f>Calculations!$C$12</xm:f>
            <x14:dxf>
              <fill>
                <patternFill>
                  <bgColor theme="9" tint="0.39994506668294322"/>
                </patternFill>
              </fill>
            </x14:dxf>
          </x14:cfRule>
          <xm:sqref>I19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8"/>
  <sheetViews>
    <sheetView showGridLines="0" zoomScale="88" zoomScaleNormal="115" workbookViewId="0">
      <selection activeCell="G12" sqref="G12"/>
    </sheetView>
  </sheetViews>
  <sheetFormatPr baseColWidth="10" defaultColWidth="9.140625" defaultRowHeight="15" x14ac:dyDescent="0.25"/>
  <cols>
    <col min="1" max="1" width="4.7109375" style="75" customWidth="1"/>
    <col min="2" max="2" width="54.42578125" style="75" bestFit="1" customWidth="1"/>
    <col min="3" max="4" width="16.140625" style="75" customWidth="1"/>
    <col min="5" max="5" width="16.42578125" style="75" customWidth="1"/>
    <col min="6" max="16384" width="9.140625" style="75"/>
  </cols>
  <sheetData>
    <row r="1" spans="2:7" ht="19.5" customHeight="1" thickBot="1" x14ac:dyDescent="0.3">
      <c r="B1" s="73"/>
      <c r="C1" s="74"/>
      <c r="D1" s="74"/>
      <c r="E1" s="74"/>
    </row>
    <row r="2" spans="2:7" ht="19.5" customHeight="1" thickBot="1" x14ac:dyDescent="0.3">
      <c r="B2" s="212" t="s">
        <v>24</v>
      </c>
      <c r="C2" s="74"/>
      <c r="D2" s="74"/>
      <c r="E2" s="74"/>
    </row>
    <row r="3" spans="2:7" ht="19.5" customHeight="1" thickBot="1" x14ac:dyDescent="0.3">
      <c r="B3" s="214" t="s">
        <v>0</v>
      </c>
      <c r="C3" s="215" t="s">
        <v>62</v>
      </c>
      <c r="D3" s="215" t="s">
        <v>94</v>
      </c>
      <c r="E3" s="216" t="s">
        <v>93</v>
      </c>
    </row>
    <row r="4" spans="2:7" ht="19.5" customHeight="1" x14ac:dyDescent="0.25">
      <c r="B4" s="206" t="s">
        <v>27</v>
      </c>
      <c r="C4" s="207">
        <f>Data!C3</f>
        <v>24000</v>
      </c>
      <c r="D4" s="213" t="s">
        <v>201</v>
      </c>
      <c r="E4" s="209" t="s">
        <v>96</v>
      </c>
    </row>
    <row r="5" spans="2:7" ht="19.5" customHeight="1" x14ac:dyDescent="0.25">
      <c r="B5" s="76" t="s">
        <v>28</v>
      </c>
      <c r="C5" s="71">
        <f>Data!C14</f>
        <v>420</v>
      </c>
      <c r="D5" s="79" t="s">
        <v>192</v>
      </c>
      <c r="E5" s="78" t="s">
        <v>95</v>
      </c>
    </row>
    <row r="6" spans="2:7" ht="19.5" customHeight="1" x14ac:dyDescent="0.25">
      <c r="B6" s="76" t="s">
        <v>29</v>
      </c>
      <c r="C6" s="71">
        <f>Data!C7</f>
        <v>34.4</v>
      </c>
      <c r="D6" s="79" t="s">
        <v>195</v>
      </c>
      <c r="E6" s="78" t="s">
        <v>196</v>
      </c>
    </row>
    <row r="7" spans="2:7" ht="19.5" customHeight="1" thickBot="1" x14ac:dyDescent="0.3">
      <c r="B7" s="81" t="s">
        <v>30</v>
      </c>
      <c r="C7" s="72">
        <f>Data!C8</f>
        <v>4.3</v>
      </c>
      <c r="D7" s="92" t="s">
        <v>198</v>
      </c>
      <c r="E7" s="83" t="s">
        <v>197</v>
      </c>
    </row>
    <row r="8" spans="2:7" s="210" customFormat="1" ht="19.5" customHeight="1" thickBot="1" x14ac:dyDescent="0.3">
      <c r="B8" s="116"/>
      <c r="C8" s="211"/>
      <c r="D8" s="117"/>
      <c r="E8" s="117"/>
    </row>
    <row r="9" spans="2:7" s="210" customFormat="1" ht="19.5" customHeight="1" thickBot="1" x14ac:dyDescent="0.3">
      <c r="B9" s="212" t="s">
        <v>236</v>
      </c>
      <c r="C9" s="211"/>
      <c r="D9" s="117"/>
      <c r="E9" s="117"/>
    </row>
    <row r="10" spans="2:7" ht="19.5" customHeight="1" thickBot="1" x14ac:dyDescent="0.3">
      <c r="B10" s="214" t="s">
        <v>0</v>
      </c>
      <c r="C10" s="215" t="s">
        <v>62</v>
      </c>
      <c r="D10" s="215" t="s">
        <v>94</v>
      </c>
      <c r="E10" s="216" t="s">
        <v>93</v>
      </c>
    </row>
    <row r="11" spans="2:7" s="80" customFormat="1" ht="19.5" customHeight="1" x14ac:dyDescent="0.25">
      <c r="B11" s="206" t="s">
        <v>31</v>
      </c>
      <c r="C11" s="207">
        <f>Data!C10</f>
        <v>330</v>
      </c>
      <c r="D11" s="208" t="s">
        <v>199</v>
      </c>
      <c r="E11" s="209" t="s">
        <v>200</v>
      </c>
    </row>
    <row r="12" spans="2:7" ht="19.5" customHeight="1" thickBot="1" x14ac:dyDescent="0.3">
      <c r="B12" s="81" t="s">
        <v>32</v>
      </c>
      <c r="C12" s="72">
        <f>Data!C11</f>
        <v>7.2</v>
      </c>
      <c r="D12" s="82" t="s">
        <v>33</v>
      </c>
      <c r="E12" s="83" t="s">
        <v>33</v>
      </c>
    </row>
    <row r="13" spans="2:7" ht="19.5" customHeight="1" thickBot="1" x14ac:dyDescent="0.3">
      <c r="B13" s="73"/>
      <c r="C13" s="74"/>
      <c r="D13" s="74"/>
      <c r="E13" s="74"/>
    </row>
    <row r="14" spans="2:7" ht="19.5" customHeight="1" thickBot="1" x14ac:dyDescent="0.3">
      <c r="B14" s="212" t="s">
        <v>34</v>
      </c>
      <c r="C14" s="74"/>
      <c r="D14" s="74"/>
      <c r="E14" s="74"/>
    </row>
    <row r="15" spans="2:7" ht="19.5" customHeight="1" thickBot="1" x14ac:dyDescent="0.3">
      <c r="B15" s="214" t="s">
        <v>0</v>
      </c>
      <c r="C15" s="215" t="s">
        <v>62</v>
      </c>
      <c r="D15" s="215" t="s">
        <v>94</v>
      </c>
      <c r="E15" s="216" t="s">
        <v>93</v>
      </c>
    </row>
    <row r="16" spans="2:7" ht="19.5" customHeight="1" x14ac:dyDescent="0.25">
      <c r="B16" s="217" t="s">
        <v>190</v>
      </c>
      <c r="C16" s="192">
        <f>Data!G4</f>
        <v>84.86486486486487</v>
      </c>
      <c r="D16" s="218" t="s">
        <v>144</v>
      </c>
      <c r="E16" s="219" t="s">
        <v>144</v>
      </c>
      <c r="G16" s="281"/>
    </row>
    <row r="17" spans="2:7" ht="19.5" customHeight="1" x14ac:dyDescent="0.25">
      <c r="B17" s="76" t="s">
        <v>35</v>
      </c>
      <c r="C17" s="71">
        <f>Data!G15</f>
        <v>40.476190476190474</v>
      </c>
      <c r="D17" s="84" t="s">
        <v>144</v>
      </c>
      <c r="E17" s="85" t="s">
        <v>144</v>
      </c>
      <c r="G17" s="281"/>
    </row>
    <row r="18" spans="2:7" ht="19.5" customHeight="1" x14ac:dyDescent="0.25">
      <c r="B18" s="76" t="s">
        <v>36</v>
      </c>
      <c r="C18" s="71">
        <f>Data!G16</f>
        <v>20.238095238095237</v>
      </c>
      <c r="D18" s="84" t="s">
        <v>144</v>
      </c>
      <c r="E18" s="85" t="s">
        <v>144</v>
      </c>
      <c r="G18" s="281"/>
    </row>
    <row r="19" spans="2:7" ht="19.5" customHeight="1" x14ac:dyDescent="0.25">
      <c r="B19" s="76" t="s">
        <v>37</v>
      </c>
      <c r="C19" s="71">
        <f>Data!G22</f>
        <v>11.76470588235294</v>
      </c>
      <c r="D19" s="84" t="s">
        <v>144</v>
      </c>
      <c r="E19" s="85" t="s">
        <v>144</v>
      </c>
      <c r="G19" s="281"/>
    </row>
    <row r="20" spans="2:7" ht="19.5" customHeight="1" x14ac:dyDescent="0.25">
      <c r="B20" s="76" t="s">
        <v>38</v>
      </c>
      <c r="C20" s="71">
        <f>Data!G17</f>
        <v>11.76470588235294</v>
      </c>
      <c r="D20" s="84" t="s">
        <v>144</v>
      </c>
      <c r="E20" s="85" t="s">
        <v>144</v>
      </c>
      <c r="G20" s="281"/>
    </row>
    <row r="21" spans="2:7" ht="19.5" customHeight="1" x14ac:dyDescent="0.25">
      <c r="B21" s="76" t="s">
        <v>39</v>
      </c>
      <c r="C21" s="71">
        <f>'Check fractions'!D9</f>
        <v>14</v>
      </c>
      <c r="D21" s="84" t="s">
        <v>144</v>
      </c>
      <c r="E21" s="85" t="s">
        <v>144</v>
      </c>
      <c r="G21" s="281"/>
    </row>
    <row r="22" spans="2:7" ht="19.5" customHeight="1" x14ac:dyDescent="0.25">
      <c r="B22" s="76" t="s">
        <v>40</v>
      </c>
      <c r="C22" s="71">
        <f>'Check fractions'!D10</f>
        <v>5</v>
      </c>
      <c r="D22" s="84" t="s">
        <v>144</v>
      </c>
      <c r="E22" s="85" t="s">
        <v>144</v>
      </c>
      <c r="G22" s="281"/>
    </row>
    <row r="23" spans="2:7" ht="19.5" customHeight="1" x14ac:dyDescent="0.25">
      <c r="B23" s="76" t="s">
        <v>230</v>
      </c>
      <c r="C23" s="71">
        <f>'Check fractions'!D11</f>
        <v>20</v>
      </c>
      <c r="D23" s="84" t="s">
        <v>144</v>
      </c>
      <c r="E23" s="85" t="s">
        <v>144</v>
      </c>
      <c r="G23" s="281"/>
    </row>
    <row r="24" spans="2:7" ht="19.5" customHeight="1" x14ac:dyDescent="0.25">
      <c r="B24" s="76" t="s">
        <v>115</v>
      </c>
      <c r="C24" s="71">
        <f>'Check fractions'!D12</f>
        <v>20</v>
      </c>
      <c r="D24" s="84" t="s">
        <v>144</v>
      </c>
      <c r="E24" s="85" t="s">
        <v>144</v>
      </c>
      <c r="G24" s="281"/>
    </row>
    <row r="25" spans="2:7" ht="19.5" customHeight="1" x14ac:dyDescent="0.25">
      <c r="B25" s="76" t="s">
        <v>41</v>
      </c>
      <c r="C25" s="71">
        <f>Data!G23</f>
        <v>69.767441860465112</v>
      </c>
      <c r="D25" s="84" t="s">
        <v>144</v>
      </c>
      <c r="E25" s="85" t="s">
        <v>144</v>
      </c>
      <c r="G25" s="281"/>
    </row>
    <row r="26" spans="2:7" ht="19.5" customHeight="1" x14ac:dyDescent="0.25">
      <c r="B26" s="76" t="s">
        <v>42</v>
      </c>
      <c r="C26" s="71">
        <f>Data!G24</f>
        <v>58.139534883720934</v>
      </c>
      <c r="D26" s="84" t="s">
        <v>144</v>
      </c>
      <c r="E26" s="85" t="s">
        <v>144</v>
      </c>
      <c r="G26" s="281"/>
    </row>
    <row r="27" spans="2:7" ht="19.5" customHeight="1" x14ac:dyDescent="0.25">
      <c r="B27" s="76" t="s">
        <v>220</v>
      </c>
      <c r="C27" s="71">
        <f>'Check fractions'!D13</f>
        <v>4</v>
      </c>
      <c r="D27" s="84" t="s">
        <v>144</v>
      </c>
      <c r="E27" s="85" t="s">
        <v>144</v>
      </c>
      <c r="G27" s="281"/>
    </row>
    <row r="28" spans="2:7" ht="19.5" customHeight="1" x14ac:dyDescent="0.25">
      <c r="B28" s="76" t="s">
        <v>221</v>
      </c>
      <c r="C28" s="71">
        <f>'Check fractions'!D14</f>
        <v>1</v>
      </c>
      <c r="D28" s="84" t="s">
        <v>144</v>
      </c>
      <c r="E28" s="85" t="s">
        <v>144</v>
      </c>
      <c r="G28" s="281"/>
    </row>
    <row r="29" spans="2:7" ht="19.5" customHeight="1" x14ac:dyDescent="0.25">
      <c r="B29" s="76" t="s">
        <v>222</v>
      </c>
      <c r="C29" s="71">
        <f>'Check fractions'!D15</f>
        <v>1</v>
      </c>
      <c r="D29" s="84" t="s">
        <v>144</v>
      </c>
      <c r="E29" s="85" t="s">
        <v>144</v>
      </c>
      <c r="G29" s="281"/>
    </row>
    <row r="30" spans="2:7" ht="19.5" customHeight="1" thickBot="1" x14ac:dyDescent="0.3">
      <c r="B30" s="81" t="s">
        <v>223</v>
      </c>
      <c r="C30" s="72">
        <f>'Check fractions'!D16</f>
        <v>0.1</v>
      </c>
      <c r="D30" s="82" t="s">
        <v>144</v>
      </c>
      <c r="E30" s="220" t="s">
        <v>144</v>
      </c>
      <c r="G30" s="281"/>
    </row>
    <row r="31" spans="2:7" ht="19.5" customHeight="1" thickBot="1" x14ac:dyDescent="0.3"/>
    <row r="32" spans="2:7" ht="19.5" customHeight="1" thickBot="1" x14ac:dyDescent="0.3">
      <c r="B32" s="88" t="s">
        <v>231</v>
      </c>
      <c r="C32" s="74"/>
      <c r="D32" s="74"/>
      <c r="E32" s="74"/>
    </row>
    <row r="33" spans="2:5" ht="19.5" customHeight="1" thickBot="1" x14ac:dyDescent="0.3">
      <c r="B33" s="177" t="s">
        <v>0</v>
      </c>
      <c r="C33" s="103" t="s">
        <v>62</v>
      </c>
      <c r="D33" s="103" t="s">
        <v>94</v>
      </c>
      <c r="E33" s="104" t="s">
        <v>93</v>
      </c>
    </row>
    <row r="34" spans="2:5" ht="19.5" customHeight="1" x14ac:dyDescent="0.25">
      <c r="B34" s="106" t="s">
        <v>157</v>
      </c>
      <c r="C34" s="192">
        <f>Data!C26</f>
        <v>150</v>
      </c>
      <c r="D34" s="178" t="s">
        <v>225</v>
      </c>
      <c r="E34" s="179" t="s">
        <v>239</v>
      </c>
    </row>
    <row r="35" spans="2:5" ht="19.5" customHeight="1" x14ac:dyDescent="0.25">
      <c r="B35" s="76" t="s">
        <v>19</v>
      </c>
      <c r="C35" s="71">
        <f>Data!C27</f>
        <v>15</v>
      </c>
      <c r="D35" s="176" t="s">
        <v>227</v>
      </c>
      <c r="E35" s="180" t="s">
        <v>240</v>
      </c>
    </row>
    <row r="36" spans="2:5" ht="19.5" customHeight="1" x14ac:dyDescent="0.25">
      <c r="B36" s="205" t="s">
        <v>237</v>
      </c>
      <c r="C36" s="71">
        <f>Data!C28</f>
        <v>16</v>
      </c>
      <c r="D36" s="176" t="s">
        <v>238</v>
      </c>
      <c r="E36" s="180" t="s">
        <v>240</v>
      </c>
    </row>
    <row r="37" spans="2:5" ht="19.5" customHeight="1" x14ac:dyDescent="0.25">
      <c r="B37" s="205" t="s">
        <v>224</v>
      </c>
      <c r="C37" s="71">
        <f>Data!C29</f>
        <v>300</v>
      </c>
      <c r="D37" s="176" t="s">
        <v>226</v>
      </c>
      <c r="E37" s="180" t="s">
        <v>241</v>
      </c>
    </row>
    <row r="38" spans="2:5" ht="19.5" customHeight="1" thickBot="1" x14ac:dyDescent="0.3">
      <c r="B38" s="81" t="s">
        <v>242</v>
      </c>
      <c r="C38" s="72">
        <f>Data!C30</f>
        <v>110</v>
      </c>
      <c r="D38" s="181" t="s">
        <v>243</v>
      </c>
      <c r="E38" s="182" t="s">
        <v>244</v>
      </c>
    </row>
    <row r="39" spans="2:5" ht="19.5" customHeight="1" thickBot="1" x14ac:dyDescent="0.3">
      <c r="B39" s="86"/>
      <c r="C39" s="87"/>
      <c r="D39" s="87"/>
      <c r="E39" s="87"/>
    </row>
    <row r="40" spans="2:5" ht="19.5" customHeight="1" thickBot="1" x14ac:dyDescent="0.3">
      <c r="B40" s="88" t="s">
        <v>191</v>
      </c>
      <c r="C40" s="74"/>
      <c r="D40" s="74"/>
      <c r="E40" s="74"/>
    </row>
    <row r="41" spans="2:5" ht="19.5" customHeight="1" thickBot="1" x14ac:dyDescent="0.3">
      <c r="B41" s="222" t="s">
        <v>0</v>
      </c>
      <c r="C41" s="215" t="s">
        <v>62</v>
      </c>
      <c r="D41" s="215" t="s">
        <v>94</v>
      </c>
      <c r="E41" s="216" t="s">
        <v>93</v>
      </c>
    </row>
    <row r="42" spans="2:5" ht="19.5" customHeight="1" x14ac:dyDescent="0.25">
      <c r="B42" s="206" t="s">
        <v>218</v>
      </c>
      <c r="C42" s="221">
        <v>0</v>
      </c>
      <c r="D42" s="208" t="s">
        <v>193</v>
      </c>
      <c r="E42" s="209" t="s">
        <v>194</v>
      </c>
    </row>
    <row r="43" spans="2:5" ht="19.5" customHeight="1" x14ac:dyDescent="0.25">
      <c r="B43" s="89" t="s">
        <v>4</v>
      </c>
      <c r="C43" s="174">
        <v>0</v>
      </c>
      <c r="D43" s="79" t="s">
        <v>192</v>
      </c>
      <c r="E43" s="78" t="s">
        <v>95</v>
      </c>
    </row>
    <row r="44" spans="2:5" ht="19.5" customHeight="1" x14ac:dyDescent="0.25">
      <c r="B44" s="76" t="s">
        <v>43</v>
      </c>
      <c r="C44" s="174">
        <v>0.1</v>
      </c>
      <c r="D44" s="79" t="s">
        <v>192</v>
      </c>
      <c r="E44" s="78" t="s">
        <v>95</v>
      </c>
    </row>
    <row r="45" spans="2:5" ht="19.5" customHeight="1" x14ac:dyDescent="0.25">
      <c r="B45" s="89" t="s">
        <v>12</v>
      </c>
      <c r="C45" s="174">
        <v>0.1</v>
      </c>
      <c r="D45" s="79" t="s">
        <v>192</v>
      </c>
      <c r="E45" s="78" t="s">
        <v>95</v>
      </c>
    </row>
    <row r="46" spans="2:5" ht="19.5" customHeight="1" x14ac:dyDescent="0.25">
      <c r="B46" s="89" t="s">
        <v>13</v>
      </c>
      <c r="C46" s="174">
        <v>0.1</v>
      </c>
      <c r="D46" s="79" t="s">
        <v>192</v>
      </c>
      <c r="E46" s="78" t="s">
        <v>95</v>
      </c>
    </row>
    <row r="47" spans="2:5" ht="19.5" customHeight="1" x14ac:dyDescent="0.25">
      <c r="B47" s="89" t="s">
        <v>44</v>
      </c>
      <c r="C47" s="174">
        <v>0.1</v>
      </c>
      <c r="D47" s="79" t="s">
        <v>192</v>
      </c>
      <c r="E47" s="78" t="s">
        <v>95</v>
      </c>
    </row>
    <row r="48" spans="2:5" ht="19.5" customHeight="1" x14ac:dyDescent="0.25">
      <c r="B48" s="89" t="s">
        <v>14</v>
      </c>
      <c r="C48" s="174">
        <v>0.1</v>
      </c>
      <c r="D48" s="79" t="s">
        <v>192</v>
      </c>
      <c r="E48" s="78" t="s">
        <v>95</v>
      </c>
    </row>
    <row r="49" spans="2:7" ht="19.5" customHeight="1" x14ac:dyDescent="0.25">
      <c r="B49" s="89" t="s">
        <v>10</v>
      </c>
      <c r="C49" s="174">
        <v>0.01</v>
      </c>
      <c r="D49" s="79" t="s">
        <v>192</v>
      </c>
      <c r="E49" s="78" t="s">
        <v>95</v>
      </c>
    </row>
    <row r="50" spans="2:7" ht="19.5" customHeight="1" x14ac:dyDescent="0.25">
      <c r="B50" s="89" t="s">
        <v>245</v>
      </c>
      <c r="C50" s="174">
        <v>0.01</v>
      </c>
      <c r="D50" s="79" t="s">
        <v>192</v>
      </c>
      <c r="E50" s="78" t="s">
        <v>95</v>
      </c>
    </row>
    <row r="51" spans="2:7" ht="19.5" customHeight="1" x14ac:dyDescent="0.25">
      <c r="B51" s="89" t="s">
        <v>15</v>
      </c>
      <c r="C51" s="174">
        <v>0.01</v>
      </c>
      <c r="D51" s="79" t="s">
        <v>198</v>
      </c>
      <c r="E51" s="78" t="s">
        <v>197</v>
      </c>
    </row>
    <row r="52" spans="2:7" ht="19.5" customHeight="1" x14ac:dyDescent="0.25">
      <c r="B52" s="89" t="s">
        <v>16</v>
      </c>
      <c r="C52" s="174">
        <v>0.01</v>
      </c>
      <c r="D52" s="79" t="s">
        <v>198</v>
      </c>
      <c r="E52" s="78" t="s">
        <v>197</v>
      </c>
    </row>
    <row r="53" spans="2:7" ht="19.5" customHeight="1" x14ac:dyDescent="0.25">
      <c r="B53" s="76" t="s">
        <v>45</v>
      </c>
      <c r="C53" s="174">
        <v>0</v>
      </c>
      <c r="D53" s="79" t="s">
        <v>195</v>
      </c>
      <c r="E53" s="78" t="s">
        <v>196</v>
      </c>
    </row>
    <row r="54" spans="2:7" ht="19.5" customHeight="1" x14ac:dyDescent="0.25">
      <c r="B54" s="89" t="s">
        <v>17</v>
      </c>
      <c r="C54" s="174">
        <v>0</v>
      </c>
      <c r="D54" s="79" t="s">
        <v>192</v>
      </c>
      <c r="E54" s="78" t="s">
        <v>95</v>
      </c>
    </row>
    <row r="55" spans="2:7" ht="19.5" customHeight="1" x14ac:dyDescent="0.25">
      <c r="B55" s="89" t="s">
        <v>18</v>
      </c>
      <c r="C55" s="174">
        <v>0</v>
      </c>
      <c r="D55" s="79" t="s">
        <v>192</v>
      </c>
      <c r="E55" s="78" t="s">
        <v>95</v>
      </c>
    </row>
    <row r="56" spans="2:7" ht="19.5" customHeight="1" x14ac:dyDescent="0.25">
      <c r="B56" s="89" t="s">
        <v>46</v>
      </c>
      <c r="C56" s="174">
        <v>16</v>
      </c>
      <c r="D56" s="79" t="s">
        <v>195</v>
      </c>
      <c r="E56" s="78" t="s">
        <v>196</v>
      </c>
    </row>
    <row r="57" spans="2:7" ht="19.5" customHeight="1" x14ac:dyDescent="0.25">
      <c r="B57" s="91" t="s">
        <v>20</v>
      </c>
      <c r="C57" s="174">
        <v>0</v>
      </c>
      <c r="D57" s="79" t="s">
        <v>203</v>
      </c>
      <c r="E57" s="78" t="s">
        <v>202</v>
      </c>
      <c r="G57" s="90"/>
    </row>
    <row r="58" spans="2:7" ht="19.5" customHeight="1" x14ac:dyDescent="0.25">
      <c r="B58" s="91" t="s">
        <v>21</v>
      </c>
      <c r="C58" s="174">
        <v>0</v>
      </c>
      <c r="D58" s="79" t="s">
        <v>203</v>
      </c>
      <c r="E58" s="78" t="s">
        <v>202</v>
      </c>
    </row>
    <row r="59" spans="2:7" ht="19.5" customHeight="1" x14ac:dyDescent="0.25">
      <c r="B59" s="91" t="s">
        <v>22</v>
      </c>
      <c r="C59" s="174">
        <v>0</v>
      </c>
      <c r="D59" s="79" t="s">
        <v>203</v>
      </c>
      <c r="E59" s="78" t="s">
        <v>202</v>
      </c>
    </row>
    <row r="60" spans="2:7" ht="19.5" customHeight="1" x14ac:dyDescent="0.25">
      <c r="B60" s="91" t="s">
        <v>22</v>
      </c>
      <c r="C60" s="174">
        <v>0</v>
      </c>
      <c r="D60" s="79" t="s">
        <v>203</v>
      </c>
      <c r="E60" s="78" t="s">
        <v>202</v>
      </c>
    </row>
    <row r="61" spans="2:7" ht="19.5" customHeight="1" x14ac:dyDescent="0.25">
      <c r="B61" s="91" t="s">
        <v>22</v>
      </c>
      <c r="C61" s="174">
        <v>0</v>
      </c>
      <c r="D61" s="79" t="s">
        <v>203</v>
      </c>
      <c r="E61" s="78" t="s">
        <v>202</v>
      </c>
    </row>
    <row r="62" spans="2:7" ht="19.5" customHeight="1" x14ac:dyDescent="0.25">
      <c r="B62" s="76" t="s">
        <v>246</v>
      </c>
      <c r="C62" s="174">
        <v>0</v>
      </c>
      <c r="D62" s="79" t="s">
        <v>203</v>
      </c>
      <c r="E62" s="78" t="s">
        <v>202</v>
      </c>
    </row>
    <row r="63" spans="2:7" ht="19.5" customHeight="1" x14ac:dyDescent="0.25">
      <c r="B63" s="76" t="s">
        <v>247</v>
      </c>
      <c r="C63" s="174">
        <v>0</v>
      </c>
      <c r="D63" s="79" t="s">
        <v>203</v>
      </c>
      <c r="E63" s="78" t="s">
        <v>202</v>
      </c>
    </row>
    <row r="64" spans="2:7" ht="19.5" customHeight="1" x14ac:dyDescent="0.25">
      <c r="B64" s="198" t="s">
        <v>204</v>
      </c>
      <c r="C64" s="174">
        <v>0</v>
      </c>
      <c r="D64" s="79" t="s">
        <v>189</v>
      </c>
      <c r="E64" s="78" t="s">
        <v>184</v>
      </c>
    </row>
    <row r="65" spans="2:5" ht="19.5" customHeight="1" x14ac:dyDescent="0.25">
      <c r="B65" s="76" t="s">
        <v>23</v>
      </c>
      <c r="C65" s="174">
        <v>0</v>
      </c>
      <c r="D65" s="79" t="s">
        <v>189</v>
      </c>
      <c r="E65" s="78" t="s">
        <v>184</v>
      </c>
    </row>
    <row r="66" spans="2:5" ht="19.5" customHeight="1" x14ac:dyDescent="0.25">
      <c r="B66" s="198" t="s">
        <v>248</v>
      </c>
      <c r="C66" s="174">
        <v>0</v>
      </c>
      <c r="D66" s="79" t="s">
        <v>189</v>
      </c>
      <c r="E66" s="78" t="s">
        <v>184</v>
      </c>
    </row>
    <row r="67" spans="2:5" ht="19.5" customHeight="1" thickBot="1" x14ac:dyDescent="0.3">
      <c r="B67" s="81" t="s">
        <v>249</v>
      </c>
      <c r="C67" s="175">
        <v>0</v>
      </c>
      <c r="D67" s="92" t="s">
        <v>189</v>
      </c>
      <c r="E67" s="83" t="s">
        <v>184</v>
      </c>
    </row>
    <row r="68" spans="2:5" ht="19.5" customHeight="1" x14ac:dyDescent="0.25">
      <c r="B68" s="73"/>
      <c r="C68" s="74"/>
      <c r="D68" s="74"/>
      <c r="E68" s="74"/>
    </row>
    <row r="69" spans="2:5" ht="19.5" customHeight="1" x14ac:dyDescent="0.25">
      <c r="B69" s="73"/>
      <c r="C69" s="74"/>
      <c r="D69" s="74"/>
      <c r="E69" s="74"/>
    </row>
    <row r="70" spans="2:5" ht="19.5" customHeight="1" x14ac:dyDescent="0.25">
      <c r="B70" s="73"/>
      <c r="C70" s="74"/>
      <c r="D70" s="74"/>
      <c r="E70" s="74"/>
    </row>
    <row r="71" spans="2:5" x14ac:dyDescent="0.25">
      <c r="C71" s="74"/>
      <c r="D71" s="74"/>
      <c r="E71" s="74"/>
    </row>
    <row r="72" spans="2:5" x14ac:dyDescent="0.25">
      <c r="C72" s="74"/>
      <c r="D72" s="74"/>
      <c r="E72" s="74"/>
    </row>
    <row r="73" spans="2:5" x14ac:dyDescent="0.25">
      <c r="C73" s="74"/>
      <c r="D73" s="74"/>
      <c r="E73" s="74"/>
    </row>
    <row r="74" spans="2:5" x14ac:dyDescent="0.25">
      <c r="C74" s="74"/>
      <c r="D74" s="74"/>
      <c r="E74" s="74"/>
    </row>
    <row r="75" spans="2:5" x14ac:dyDescent="0.25">
      <c r="C75" s="74"/>
      <c r="D75" s="74"/>
      <c r="E75" s="74"/>
    </row>
    <row r="76" spans="2:5" x14ac:dyDescent="0.25">
      <c r="C76" s="74"/>
      <c r="D76" s="74"/>
      <c r="E76" s="74"/>
    </row>
    <row r="77" spans="2:5" x14ac:dyDescent="0.25">
      <c r="C77" s="74"/>
      <c r="D77" s="74"/>
      <c r="E77" s="74"/>
    </row>
    <row r="78" spans="2:5" x14ac:dyDescent="0.25">
      <c r="C78" s="74"/>
      <c r="D78" s="74"/>
      <c r="E78" s="74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zoomScaleNormal="100" workbookViewId="0">
      <selection activeCell="J16" sqref="J16"/>
    </sheetView>
  </sheetViews>
  <sheetFormatPr baseColWidth="10" defaultColWidth="9.140625" defaultRowHeight="18.75" customHeight="1" x14ac:dyDescent="0.25"/>
  <cols>
    <col min="1" max="1" width="4.28515625" customWidth="1"/>
    <col min="2" max="2" width="53.5703125" bestFit="1" customWidth="1"/>
    <col min="3" max="3" width="11" customWidth="1"/>
    <col min="4" max="4" width="13.28515625" customWidth="1"/>
    <col min="6" max="6" width="35.42578125" bestFit="1" customWidth="1"/>
    <col min="10" max="10" width="35.140625" bestFit="1" customWidth="1"/>
    <col min="11" max="11" width="12" bestFit="1" customWidth="1"/>
    <col min="12" max="12" width="15.140625" customWidth="1"/>
  </cols>
  <sheetData>
    <row r="1" spans="2:13" ht="18.75" customHeight="1" thickBot="1" x14ac:dyDescent="0.3"/>
    <row r="2" spans="2:13" ht="18.75" customHeight="1" thickBot="1" x14ac:dyDescent="0.3">
      <c r="B2" s="258" t="s">
        <v>141</v>
      </c>
      <c r="C2" s="259" t="s">
        <v>95</v>
      </c>
      <c r="D2" s="260" t="s">
        <v>146</v>
      </c>
      <c r="F2" s="250" t="s">
        <v>261</v>
      </c>
      <c r="G2" s="251" t="s">
        <v>196</v>
      </c>
      <c r="H2" s="252" t="s">
        <v>146</v>
      </c>
      <c r="J2" s="267" t="s">
        <v>266</v>
      </c>
      <c r="K2" s="268" t="s">
        <v>25</v>
      </c>
      <c r="L2" s="269" t="s">
        <v>1</v>
      </c>
      <c r="M2" s="2"/>
    </row>
    <row r="3" spans="2:13" ht="18.75" customHeight="1" x14ac:dyDescent="0.25">
      <c r="B3" s="35" t="s">
        <v>2</v>
      </c>
      <c r="C3" s="36">
        <f>'Check fractions'!H4*'Check fractions'!D5/100</f>
        <v>19.999999999999996</v>
      </c>
      <c r="D3" s="37">
        <f>C3/$C$22</f>
        <v>4.7619047619047609E-2</v>
      </c>
      <c r="F3" s="253" t="s">
        <v>71</v>
      </c>
      <c r="G3" s="254">
        <f>Data!C23</f>
        <v>24</v>
      </c>
      <c r="H3" s="255">
        <f t="shared" ref="H3:H10" si="0">G3/$G$11</f>
        <v>0.69767441860465118</v>
      </c>
      <c r="J3" s="270" t="s">
        <v>262</v>
      </c>
      <c r="K3" s="271">
        <v>7.0000000000000007E-2</v>
      </c>
      <c r="L3" s="272" t="s">
        <v>263</v>
      </c>
    </row>
    <row r="4" spans="2:13" ht="18.75" customHeight="1" x14ac:dyDescent="0.25">
      <c r="B4" s="34" t="s">
        <v>3</v>
      </c>
      <c r="C4" s="38">
        <f>'Check fractions'!H5-Balances!C3-Balances!C7</f>
        <v>45</v>
      </c>
      <c r="D4" s="37">
        <f t="shared" ref="D4:D10" si="1">C4/$C$22</f>
        <v>0.10714285714285714</v>
      </c>
      <c r="F4" s="35" t="s">
        <v>257</v>
      </c>
      <c r="G4" s="273">
        <f>K3*(C10+C11+C15+C16+C17+C18+C19)</f>
        <v>1.7990000000000006</v>
      </c>
      <c r="H4" s="37">
        <f t="shared" si="0"/>
        <v>5.2296511627906994E-2</v>
      </c>
      <c r="J4" s="248" t="s">
        <v>286</v>
      </c>
      <c r="K4" s="242">
        <v>0.03</v>
      </c>
      <c r="L4" s="245" t="s">
        <v>263</v>
      </c>
    </row>
    <row r="5" spans="2:13" ht="18.75" customHeight="1" x14ac:dyDescent="0.25">
      <c r="B5" s="34" t="s">
        <v>142</v>
      </c>
      <c r="C5" s="38">
        <f>('Check fractions'!H4-'Check fractions'!H5)*(1-'Check fractions'!D12/100)</f>
        <v>68</v>
      </c>
      <c r="D5" s="37">
        <f>C5/$C$22</f>
        <v>0.16190476190476191</v>
      </c>
      <c r="F5" s="35" t="s">
        <v>258</v>
      </c>
      <c r="G5" s="273">
        <f>'Sumo forms'!C27/100*Balances!C4</f>
        <v>1.8</v>
      </c>
      <c r="H5" s="37">
        <f t="shared" si="0"/>
        <v>5.232558139534884E-2</v>
      </c>
      <c r="J5" s="248" t="s">
        <v>288</v>
      </c>
      <c r="K5" s="242">
        <v>5.0000000000000001E-3</v>
      </c>
      <c r="L5" s="245" t="s">
        <v>263</v>
      </c>
    </row>
    <row r="6" spans="2:13" ht="18.75" customHeight="1" x14ac:dyDescent="0.25">
      <c r="B6" s="34" t="s">
        <v>143</v>
      </c>
      <c r="C6" s="38">
        <f>Data!C14-Data!C15-Balances!C9-Balances!C10-Balances!C15-Balances!C16-Balances!C17-Balances!C18-Balances!C19-Balances!C20-Balances!C11</f>
        <v>165.49000000000004</v>
      </c>
      <c r="D6" s="37">
        <f t="shared" si="1"/>
        <v>0.39402380952380961</v>
      </c>
      <c r="F6" s="35" t="s">
        <v>272</v>
      </c>
      <c r="G6" s="273">
        <f>K4*Balances!C5</f>
        <v>2.04</v>
      </c>
      <c r="H6" s="37">
        <f t="shared" si="0"/>
        <v>5.9302325581395351E-2</v>
      </c>
      <c r="J6" s="248" t="s">
        <v>287</v>
      </c>
      <c r="K6" s="242">
        <v>0.01</v>
      </c>
      <c r="L6" s="245" t="s">
        <v>263</v>
      </c>
    </row>
    <row r="7" spans="2:13" ht="18.75" customHeight="1" x14ac:dyDescent="0.25">
      <c r="B7" s="34" t="s">
        <v>7</v>
      </c>
      <c r="C7" s="36">
        <f>'Check fractions'!H4*'Check fractions'!D6/100</f>
        <v>19.999999999999996</v>
      </c>
      <c r="D7" s="37">
        <f t="shared" si="1"/>
        <v>4.7619047619047609E-2</v>
      </c>
      <c r="F7" s="35" t="s">
        <v>273</v>
      </c>
      <c r="G7" s="273">
        <f>K5*Balances!C7</f>
        <v>9.9999999999999978E-2</v>
      </c>
      <c r="H7" s="37">
        <f t="shared" si="0"/>
        <v>2.906976744186046E-3</v>
      </c>
      <c r="J7" s="248" t="s">
        <v>264</v>
      </c>
      <c r="K7" s="242">
        <v>0.02</v>
      </c>
      <c r="L7" s="245" t="s">
        <v>265</v>
      </c>
    </row>
    <row r="8" spans="2:13" ht="18.75" customHeight="1" x14ac:dyDescent="0.25">
      <c r="B8" s="34" t="s">
        <v>8</v>
      </c>
      <c r="C8" s="38">
        <f>('Check fractions'!H4-'Check fractions'!H5)*'Check fractions'!D12/100</f>
        <v>17</v>
      </c>
      <c r="D8" s="37">
        <f t="shared" si="1"/>
        <v>4.0476190476190478E-2</v>
      </c>
      <c r="F8" s="35" t="s">
        <v>274</v>
      </c>
      <c r="G8" s="273">
        <f>K6*Balances!C8</f>
        <v>0.17</v>
      </c>
      <c r="H8" s="37">
        <f t="shared" si="0"/>
        <v>4.9418604651162799E-3</v>
      </c>
      <c r="J8" s="248" t="s">
        <v>289</v>
      </c>
      <c r="K8" s="242">
        <v>5.0000000000000001E-3</v>
      </c>
      <c r="L8" s="245" t="s">
        <v>265</v>
      </c>
    </row>
    <row r="9" spans="2:13" ht="18.75" customHeight="1" x14ac:dyDescent="0.25">
      <c r="B9" s="34" t="s">
        <v>9</v>
      </c>
      <c r="C9" s="38">
        <f>'Check fractions'!G3*'Check fractions'!D9/100</f>
        <v>58.8</v>
      </c>
      <c r="D9" s="37">
        <f t="shared" si="1"/>
        <v>0.13999999999999999</v>
      </c>
      <c r="F9" s="35" t="s">
        <v>260</v>
      </c>
      <c r="G9" s="273">
        <f>'Sumo forms'!C28/100*Balances!C9</f>
        <v>0.58799999999999997</v>
      </c>
      <c r="H9" s="37">
        <f t="shared" si="0"/>
        <v>1.7093023255813952E-2</v>
      </c>
      <c r="J9" s="248" t="s">
        <v>291</v>
      </c>
      <c r="K9" s="242">
        <v>5.0000000000000001E-3</v>
      </c>
      <c r="L9" s="245" t="s">
        <v>265</v>
      </c>
    </row>
    <row r="10" spans="2:13" ht="18.75" customHeight="1" thickBot="1" x14ac:dyDescent="0.3">
      <c r="B10" s="34" t="s">
        <v>11</v>
      </c>
      <c r="C10" s="38">
        <f>'Check fractions'!G3*'Check fractions'!D10/100</f>
        <v>21</v>
      </c>
      <c r="D10" s="37">
        <f t="shared" si="1"/>
        <v>0.05</v>
      </c>
      <c r="F10" s="256" t="s">
        <v>259</v>
      </c>
      <c r="G10" s="274">
        <f>G11-SUM(G3:G9)</f>
        <v>3.9029999999999951</v>
      </c>
      <c r="H10" s="257">
        <f t="shared" si="0"/>
        <v>0.11345930232558125</v>
      </c>
      <c r="J10" s="249" t="s">
        <v>290</v>
      </c>
      <c r="K10" s="246">
        <v>5.0000000000000001E-3</v>
      </c>
      <c r="L10" s="247" t="s">
        <v>265</v>
      </c>
    </row>
    <row r="11" spans="2:13" ht="18.75" customHeight="1" thickBot="1" x14ac:dyDescent="0.3">
      <c r="B11" s="39" t="s">
        <v>127</v>
      </c>
      <c r="C11" s="40">
        <f>'Check fractions'!D11/100*Balances!C10</f>
        <v>4.2</v>
      </c>
      <c r="D11" s="41">
        <f>C11/$C$22</f>
        <v>0.01</v>
      </c>
      <c r="F11" s="168" t="s">
        <v>278</v>
      </c>
      <c r="G11" s="45">
        <f>Data!C7</f>
        <v>34.4</v>
      </c>
      <c r="H11" s="46">
        <f>SUM(H3:H10)</f>
        <v>0.99999999999999978</v>
      </c>
    </row>
    <row r="12" spans="2:13" ht="18.75" customHeight="1" thickBot="1" x14ac:dyDescent="0.3">
      <c r="B12" s="1"/>
    </row>
    <row r="13" spans="2:13" ht="18.75" customHeight="1" thickBot="1" x14ac:dyDescent="0.3">
      <c r="B13" s="258" t="s">
        <v>145</v>
      </c>
      <c r="C13" s="259" t="s">
        <v>95</v>
      </c>
      <c r="D13" s="260" t="s">
        <v>144</v>
      </c>
    </row>
    <row r="14" spans="2:13" ht="18.75" customHeight="1" thickBot="1" x14ac:dyDescent="0.3">
      <c r="B14" s="261" t="s">
        <v>4</v>
      </c>
      <c r="C14" s="262">
        <f>-'Sumo forms'!C43</f>
        <v>0</v>
      </c>
      <c r="D14" s="43">
        <f t="shared" ref="D14:D20" si="2">C14/$C$22</f>
        <v>0</v>
      </c>
      <c r="F14" s="250" t="s">
        <v>271</v>
      </c>
      <c r="G14" s="251" t="s">
        <v>197</v>
      </c>
      <c r="H14" s="252" t="s">
        <v>146</v>
      </c>
    </row>
    <row r="15" spans="2:13" ht="18.75" customHeight="1" x14ac:dyDescent="0.25">
      <c r="B15" s="44" t="s">
        <v>12</v>
      </c>
      <c r="C15" s="42">
        <f>'Sumo forms'!C45</f>
        <v>0.1</v>
      </c>
      <c r="D15" s="43">
        <f t="shared" si="2"/>
        <v>2.380952380952381E-4</v>
      </c>
      <c r="F15" s="253" t="s">
        <v>72</v>
      </c>
      <c r="G15" s="254">
        <f>Data!C24</f>
        <v>2.5</v>
      </c>
      <c r="H15" s="255">
        <f t="shared" ref="H15:H22" si="3">G15/$G$23</f>
        <v>0.58139534883720934</v>
      </c>
    </row>
    <row r="16" spans="2:13" ht="18.75" customHeight="1" x14ac:dyDescent="0.25">
      <c r="B16" s="44" t="s">
        <v>13</v>
      </c>
      <c r="C16" s="42">
        <f>'Sumo forms'!C46</f>
        <v>0.1</v>
      </c>
      <c r="D16" s="43">
        <f t="shared" si="2"/>
        <v>2.380952380952381E-4</v>
      </c>
      <c r="F16" s="35" t="s">
        <v>267</v>
      </c>
      <c r="G16" s="273">
        <f>K7*(C10+C11+C15+C16+C17+C18+C19)</f>
        <v>0.51400000000000012</v>
      </c>
      <c r="H16" s="37">
        <f t="shared" si="3"/>
        <v>0.11953488372093027</v>
      </c>
    </row>
    <row r="17" spans="2:8" ht="18.75" customHeight="1" x14ac:dyDescent="0.25">
      <c r="B17" s="44" t="s">
        <v>132</v>
      </c>
      <c r="C17" s="42">
        <f>'Sumo forms'!C44</f>
        <v>0.1</v>
      </c>
      <c r="D17" s="43">
        <f t="shared" si="2"/>
        <v>2.380952380952381E-4</v>
      </c>
      <c r="F17" s="35" t="s">
        <v>268</v>
      </c>
      <c r="G17" s="273">
        <f>'Sumo forms'!C29/100*Balances!C4</f>
        <v>0.45</v>
      </c>
      <c r="H17" s="37">
        <f t="shared" si="3"/>
        <v>0.10465116279069768</v>
      </c>
    </row>
    <row r="18" spans="2:8" ht="18.75" customHeight="1" x14ac:dyDescent="0.25">
      <c r="B18" s="44" t="s">
        <v>134</v>
      </c>
      <c r="C18" s="42">
        <f>'Sumo forms'!C47</f>
        <v>0.1</v>
      </c>
      <c r="D18" s="43">
        <f t="shared" si="2"/>
        <v>2.380952380952381E-4</v>
      </c>
      <c r="F18" s="35" t="s">
        <v>275</v>
      </c>
      <c r="G18" s="273">
        <f>K8*Balances!C5</f>
        <v>0.34</v>
      </c>
      <c r="H18" s="37">
        <f t="shared" si="3"/>
        <v>7.9069767441860478E-2</v>
      </c>
    </row>
    <row r="19" spans="2:8" ht="18.75" customHeight="1" x14ac:dyDescent="0.25">
      <c r="B19" s="44" t="s">
        <v>14</v>
      </c>
      <c r="C19" s="42">
        <f>'Sumo forms'!C48</f>
        <v>0.1</v>
      </c>
      <c r="D19" s="43">
        <f t="shared" si="2"/>
        <v>2.380952380952381E-4</v>
      </c>
      <c r="F19" s="35" t="s">
        <v>276</v>
      </c>
      <c r="G19" s="273">
        <f>K9*Balances!C7</f>
        <v>9.9999999999999978E-2</v>
      </c>
      <c r="H19" s="37">
        <f t="shared" si="3"/>
        <v>2.3255813953488368E-2</v>
      </c>
    </row>
    <row r="20" spans="2:8" ht="18.75" customHeight="1" thickBot="1" x14ac:dyDescent="0.3">
      <c r="B20" s="39" t="s">
        <v>10</v>
      </c>
      <c r="C20" s="40">
        <f>'Sumo forms'!C49</f>
        <v>0.01</v>
      </c>
      <c r="D20" s="41">
        <f t="shared" si="2"/>
        <v>2.380952380952381E-5</v>
      </c>
      <c r="F20" s="35" t="s">
        <v>277</v>
      </c>
      <c r="G20" s="273">
        <f>K10*Balances!C8</f>
        <v>8.5000000000000006E-2</v>
      </c>
      <c r="H20" s="37">
        <f t="shared" si="3"/>
        <v>1.9767441860465119E-2</v>
      </c>
    </row>
    <row r="21" spans="2:8" ht="18.75" customHeight="1" thickBot="1" x14ac:dyDescent="0.3">
      <c r="B21" s="167"/>
      <c r="F21" s="35" t="s">
        <v>270</v>
      </c>
      <c r="G21" s="273">
        <f>'Sumo forms'!C30/100*Balances!C9</f>
        <v>5.8799999999999998E-2</v>
      </c>
      <c r="H21" s="37">
        <f t="shared" si="3"/>
        <v>1.3674418604651163E-2</v>
      </c>
    </row>
    <row r="22" spans="2:8" ht="18.75" customHeight="1" thickBot="1" x14ac:dyDescent="0.3">
      <c r="B22" s="168" t="s">
        <v>28</v>
      </c>
      <c r="C22" s="45">
        <f>Data!C14</f>
        <v>420</v>
      </c>
      <c r="D22" s="46">
        <f>SUM(D3:D11)+SUM(D14:D20)</f>
        <v>1</v>
      </c>
      <c r="F22" s="256" t="s">
        <v>269</v>
      </c>
      <c r="G22" s="274">
        <f>G23-SUM(G15:G21)</f>
        <v>0.25219999999999931</v>
      </c>
      <c r="H22" s="257">
        <f t="shared" si="3"/>
        <v>5.8651162790697514E-2</v>
      </c>
    </row>
    <row r="23" spans="2:8" ht="18.75" customHeight="1" thickBot="1" x14ac:dyDescent="0.3">
      <c r="B23" s="167"/>
      <c r="F23" s="168" t="s">
        <v>279</v>
      </c>
      <c r="G23" s="45">
        <f>Data!C8</f>
        <v>4.3</v>
      </c>
      <c r="H23" s="46">
        <f>SUM(H15:H22)</f>
        <v>0.99999999999999978</v>
      </c>
    </row>
    <row r="24" spans="2:8" ht="18.75" customHeight="1" thickBot="1" x14ac:dyDescent="0.3">
      <c r="B24" s="169" t="s">
        <v>183</v>
      </c>
      <c r="C24" s="47">
        <f>Data!C4-Data!C5</f>
        <v>28</v>
      </c>
      <c r="D24" s="166" t="s">
        <v>184</v>
      </c>
    </row>
  </sheetData>
  <sheetProtection selectLockedCells="1"/>
  <conditionalFormatting sqref="G22">
    <cfRule type="cellIs" dxfId="8" priority="3" operator="lessThan">
      <formula>0</formula>
    </cfRule>
  </conditionalFormatting>
  <conditionalFormatting sqref="G10">
    <cfRule type="cellIs" dxfId="7" priority="2" operator="lessThan">
      <formula>0</formula>
    </cfRule>
  </conditionalFormatting>
  <conditionalFormatting sqref="C6">
    <cfRule type="cellIs" dxfId="6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zoomScale="80" zoomScaleNormal="80" workbookViewId="0">
      <selection activeCell="E10" sqref="E10"/>
    </sheetView>
  </sheetViews>
  <sheetFormatPr baseColWidth="10" defaultColWidth="9.140625" defaultRowHeight="15" x14ac:dyDescent="0.25"/>
  <cols>
    <col min="1" max="1" width="17.5703125" style="4" customWidth="1"/>
    <col min="2" max="2" width="11.5703125" style="4" bestFit="1" customWidth="1"/>
    <col min="3" max="3" width="12.5703125" style="4" bestFit="1" customWidth="1"/>
    <col min="4" max="4" width="13.7109375" style="4" bestFit="1" customWidth="1"/>
    <col min="5" max="5" width="24" style="4" customWidth="1"/>
    <col min="6" max="6" width="9.140625" style="5"/>
    <col min="7" max="9" width="9.140625" style="6"/>
    <col min="10" max="10" width="12" style="6" customWidth="1"/>
    <col min="11" max="13" width="9.140625" style="6"/>
    <col min="14" max="16384" width="9.140625" style="7"/>
  </cols>
  <sheetData>
    <row r="1" spans="1:20" ht="15.75" x14ac:dyDescent="0.25">
      <c r="A1" s="3" t="s">
        <v>47</v>
      </c>
    </row>
    <row r="2" spans="1:20" x14ac:dyDescent="0.25">
      <c r="P2" s="8" t="s">
        <v>48</v>
      </c>
    </row>
    <row r="3" spans="1:20" x14ac:dyDescent="0.25">
      <c r="A3" s="9" t="s">
        <v>49</v>
      </c>
      <c r="B3" s="33">
        <f>B4*C3</f>
        <v>2400</v>
      </c>
      <c r="C3" s="33">
        <f>Data!C3</f>
        <v>24000</v>
      </c>
      <c r="D3" s="33">
        <f>D4*C3</f>
        <v>240000</v>
      </c>
      <c r="E3" s="10"/>
      <c r="F3" s="32" t="s">
        <v>50</v>
      </c>
      <c r="P3" s="11" t="s">
        <v>55</v>
      </c>
    </row>
    <row r="4" spans="1:20" x14ac:dyDescent="0.25">
      <c r="A4" s="9" t="s">
        <v>175</v>
      </c>
      <c r="B4" s="33">
        <v>0.1</v>
      </c>
      <c r="C4" s="33"/>
      <c r="D4" s="33">
        <v>10</v>
      </c>
      <c r="E4" s="10"/>
      <c r="P4" s="31" t="s">
        <v>176</v>
      </c>
    </row>
    <row r="5" spans="1:20" x14ac:dyDescent="0.25">
      <c r="A5" s="9" t="s">
        <v>51</v>
      </c>
      <c r="B5" s="33">
        <v>1</v>
      </c>
      <c r="C5" s="33">
        <v>2</v>
      </c>
      <c r="D5" s="33">
        <v>4</v>
      </c>
      <c r="F5" s="12" t="s">
        <v>52</v>
      </c>
      <c r="G5" s="13"/>
      <c r="H5" s="13"/>
      <c r="I5" s="13" t="s">
        <v>53</v>
      </c>
      <c r="J5" s="13"/>
      <c r="K5" s="13"/>
      <c r="L5" s="13" t="s">
        <v>54</v>
      </c>
      <c r="P5" s="31" t="s">
        <v>177</v>
      </c>
    </row>
    <row r="6" spans="1:20" x14ac:dyDescent="0.25">
      <c r="A6" s="14" t="s">
        <v>56</v>
      </c>
      <c r="B6" s="15">
        <f>AVERAGE(B10:B33)</f>
        <v>0.99999999999999989</v>
      </c>
      <c r="C6" s="15">
        <f>AVERAGE(C10:C33)</f>
        <v>1</v>
      </c>
      <c r="D6" s="15">
        <f>AVERAGE(D10:D33)</f>
        <v>0.99999999999999989</v>
      </c>
      <c r="E6" s="16"/>
      <c r="F6" s="17"/>
      <c r="G6" s="18">
        <f>AVERAGE(G10:G33)</f>
        <v>2400</v>
      </c>
      <c r="H6" s="19"/>
      <c r="I6" s="19"/>
      <c r="J6" s="18">
        <f>AVERAGE(J10:J33)</f>
        <v>24000</v>
      </c>
      <c r="K6" s="19"/>
      <c r="L6" s="19"/>
      <c r="M6" s="20">
        <f>AVERAGE(M10:M33)</f>
        <v>239999.99999999997</v>
      </c>
    </row>
    <row r="7" spans="1:20" x14ac:dyDescent="0.25">
      <c r="T7" s="4"/>
    </row>
    <row r="8" spans="1:20" x14ac:dyDescent="0.25">
      <c r="A8" s="21" t="s">
        <v>57</v>
      </c>
      <c r="B8" s="21" t="s">
        <v>58</v>
      </c>
      <c r="C8" s="21" t="s">
        <v>59</v>
      </c>
      <c r="D8" s="21" t="s">
        <v>60</v>
      </c>
      <c r="F8" s="22" t="s">
        <v>57</v>
      </c>
      <c r="G8" s="22" t="s">
        <v>26</v>
      </c>
      <c r="I8" s="23" t="s">
        <v>57</v>
      </c>
      <c r="J8" s="23" t="s">
        <v>26</v>
      </c>
      <c r="L8" s="23" t="s">
        <v>57</v>
      </c>
      <c r="M8" s="23" t="s">
        <v>26</v>
      </c>
    </row>
    <row r="9" spans="1:20" x14ac:dyDescent="0.25">
      <c r="A9" s="201" t="s">
        <v>233</v>
      </c>
      <c r="B9" s="201" t="s">
        <v>33</v>
      </c>
      <c r="C9" s="201" t="s">
        <v>33</v>
      </c>
      <c r="D9" s="201" t="s">
        <v>33</v>
      </c>
      <c r="F9" s="202" t="s">
        <v>234</v>
      </c>
      <c r="G9" s="202" t="s">
        <v>235</v>
      </c>
      <c r="I9" s="203" t="s">
        <v>234</v>
      </c>
      <c r="J9" s="203" t="s">
        <v>235</v>
      </c>
      <c r="L9" s="203" t="s">
        <v>234</v>
      </c>
      <c r="M9" s="203" t="s">
        <v>235</v>
      </c>
    </row>
    <row r="10" spans="1:20" x14ac:dyDescent="0.25">
      <c r="A10" s="4">
        <v>0</v>
      </c>
      <c r="B10" s="4">
        <v>0.92370848053769694</v>
      </c>
      <c r="C10" s="4">
        <f t="shared" ref="C10:C33" si="0">1-(1-B10)/$C$5</f>
        <v>0.96185424026884847</v>
      </c>
      <c r="D10" s="4">
        <f t="shared" ref="D10:D33" si="1">1-(1-B10)/$D$5</f>
        <v>0.98092712013442429</v>
      </c>
      <c r="F10" s="204">
        <v>0</v>
      </c>
      <c r="G10" s="23">
        <f t="shared" ref="G10:G33" si="2">$B$3*B10</f>
        <v>2216.9003532904726</v>
      </c>
      <c r="I10" s="204">
        <v>0</v>
      </c>
      <c r="J10" s="24">
        <f>$C$3*C10</f>
        <v>23084.501766452362</v>
      </c>
      <c r="L10" s="204">
        <v>0</v>
      </c>
      <c r="M10" s="23">
        <f>$D$3*D10</f>
        <v>235422.50883226184</v>
      </c>
    </row>
    <row r="11" spans="1:20" x14ac:dyDescent="0.25">
      <c r="A11" s="4">
        <v>4.1666666999999998E-2</v>
      </c>
      <c r="B11" s="4">
        <v>0.79842741753157853</v>
      </c>
      <c r="C11" s="4">
        <f t="shared" si="0"/>
        <v>0.89921370876578921</v>
      </c>
      <c r="D11" s="4">
        <f t="shared" si="1"/>
        <v>0.94960685438289461</v>
      </c>
      <c r="F11" s="204">
        <v>1</v>
      </c>
      <c r="G11" s="23">
        <f t="shared" si="2"/>
        <v>1916.2258020757886</v>
      </c>
      <c r="I11" s="204">
        <v>1</v>
      </c>
      <c r="J11" s="24">
        <f t="shared" ref="J11:J33" si="3">$C$3*C11</f>
        <v>21581.12901037894</v>
      </c>
      <c r="L11" s="204">
        <v>1</v>
      </c>
      <c r="M11" s="23">
        <f t="shared" ref="M11:M33" si="4">$D$3*D11</f>
        <v>227905.64505189471</v>
      </c>
    </row>
    <row r="12" spans="1:20" x14ac:dyDescent="0.25">
      <c r="A12" s="4">
        <v>8.3333332999999996E-2</v>
      </c>
      <c r="B12" s="4">
        <v>0.67606828055988355</v>
      </c>
      <c r="C12" s="4">
        <f t="shared" si="0"/>
        <v>0.83803414027994183</v>
      </c>
      <c r="D12" s="4">
        <f t="shared" si="1"/>
        <v>0.91901707013997092</v>
      </c>
      <c r="F12" s="204">
        <v>2</v>
      </c>
      <c r="G12" s="23">
        <f t="shared" si="2"/>
        <v>1622.5638733437206</v>
      </c>
      <c r="I12" s="204">
        <v>2</v>
      </c>
      <c r="J12" s="24">
        <f t="shared" si="3"/>
        <v>20112.819366718602</v>
      </c>
      <c r="L12" s="204">
        <v>2</v>
      </c>
      <c r="M12" s="23">
        <f t="shared" si="4"/>
        <v>220564.09683359301</v>
      </c>
    </row>
    <row r="13" spans="1:20" x14ac:dyDescent="0.25">
      <c r="A13" s="4">
        <v>0.125</v>
      </c>
      <c r="B13" s="4">
        <v>0.58386775266027691</v>
      </c>
      <c r="C13" s="4">
        <f t="shared" si="0"/>
        <v>0.79193387633013845</v>
      </c>
      <c r="D13" s="4">
        <f t="shared" si="1"/>
        <v>0.89596693816506923</v>
      </c>
      <c r="F13" s="204">
        <v>3</v>
      </c>
      <c r="G13" s="23">
        <f t="shared" si="2"/>
        <v>1401.2826063846646</v>
      </c>
      <c r="I13" s="204">
        <v>3</v>
      </c>
      <c r="J13" s="24">
        <f t="shared" si="3"/>
        <v>19006.413031923323</v>
      </c>
      <c r="L13" s="204">
        <v>3</v>
      </c>
      <c r="M13" s="23">
        <f t="shared" si="4"/>
        <v>215032.06515961661</v>
      </c>
    </row>
    <row r="14" spans="1:20" x14ac:dyDescent="0.25">
      <c r="A14" s="4">
        <v>0.16666666699999999</v>
      </c>
      <c r="B14" s="4">
        <v>0.54484137120169696</v>
      </c>
      <c r="C14" s="4">
        <f t="shared" si="0"/>
        <v>0.77242068560084842</v>
      </c>
      <c r="D14" s="4">
        <f t="shared" si="1"/>
        <v>0.88621034280042421</v>
      </c>
      <c r="F14" s="204">
        <v>4</v>
      </c>
      <c r="G14" s="23">
        <f t="shared" si="2"/>
        <v>1307.6192908840726</v>
      </c>
      <c r="I14" s="204">
        <v>4</v>
      </c>
      <c r="J14" s="24">
        <f t="shared" si="3"/>
        <v>18538.096454420363</v>
      </c>
      <c r="L14" s="204">
        <v>4</v>
      </c>
      <c r="M14" s="23">
        <f t="shared" si="4"/>
        <v>212690.4822721018</v>
      </c>
    </row>
    <row r="15" spans="1:20" x14ac:dyDescent="0.25">
      <c r="A15" s="4">
        <v>0.20833333300000001</v>
      </c>
      <c r="B15" s="4">
        <v>0.57173167120325918</v>
      </c>
      <c r="C15" s="4">
        <f t="shared" si="0"/>
        <v>0.78586583560162959</v>
      </c>
      <c r="D15" s="4">
        <f t="shared" si="1"/>
        <v>0.89293291780081474</v>
      </c>
      <c r="F15" s="204">
        <v>5</v>
      </c>
      <c r="G15" s="23">
        <f t="shared" si="2"/>
        <v>1372.156010887822</v>
      </c>
      <c r="I15" s="204">
        <v>5</v>
      </c>
      <c r="J15" s="24">
        <f t="shared" si="3"/>
        <v>18860.78005443911</v>
      </c>
      <c r="L15" s="204">
        <v>5</v>
      </c>
      <c r="M15" s="23">
        <f t="shared" si="4"/>
        <v>214303.90027219555</v>
      </c>
    </row>
    <row r="16" spans="1:20" x14ac:dyDescent="0.25">
      <c r="A16" s="4">
        <v>0.25</v>
      </c>
      <c r="B16" s="4">
        <v>0.66343808388767789</v>
      </c>
      <c r="C16" s="4">
        <f t="shared" si="0"/>
        <v>0.83171904194383894</v>
      </c>
      <c r="D16" s="4">
        <f t="shared" si="1"/>
        <v>0.91585952097191947</v>
      </c>
      <c r="F16" s="204">
        <v>6</v>
      </c>
      <c r="G16" s="23">
        <f t="shared" si="2"/>
        <v>1592.2514013304269</v>
      </c>
      <c r="I16" s="204">
        <v>6</v>
      </c>
      <c r="J16" s="24">
        <f t="shared" si="3"/>
        <v>19961.257006652133</v>
      </c>
      <c r="L16" s="204">
        <v>6</v>
      </c>
      <c r="M16" s="23">
        <f t="shared" si="4"/>
        <v>219806.28503326068</v>
      </c>
    </row>
    <row r="17" spans="1:13" x14ac:dyDescent="0.25">
      <c r="A17" s="4">
        <v>0.29166666699999999</v>
      </c>
      <c r="B17" s="4">
        <v>0.80489581033830182</v>
      </c>
      <c r="C17" s="4">
        <f t="shared" si="0"/>
        <v>0.90244790516915097</v>
      </c>
      <c r="D17" s="4">
        <f t="shared" si="1"/>
        <v>0.95122395258457548</v>
      </c>
      <c r="F17" s="204">
        <v>7</v>
      </c>
      <c r="G17" s="23">
        <f t="shared" si="2"/>
        <v>1931.7499448119245</v>
      </c>
      <c r="I17" s="204">
        <v>7</v>
      </c>
      <c r="J17" s="24">
        <f t="shared" si="3"/>
        <v>21658.749724059624</v>
      </c>
      <c r="L17" s="204">
        <v>7</v>
      </c>
      <c r="M17" s="23">
        <f t="shared" si="4"/>
        <v>228293.74862029811</v>
      </c>
    </row>
    <row r="18" spans="1:13" x14ac:dyDescent="0.25">
      <c r="A18" s="4">
        <v>0.33333333300000001</v>
      </c>
      <c r="B18" s="4">
        <v>0.97046447723580986</v>
      </c>
      <c r="C18" s="4">
        <f t="shared" si="0"/>
        <v>0.98523223861790488</v>
      </c>
      <c r="D18" s="4">
        <f t="shared" si="1"/>
        <v>0.99261611930895244</v>
      </c>
      <c r="F18" s="204">
        <v>8</v>
      </c>
      <c r="G18" s="23">
        <f t="shared" si="2"/>
        <v>2329.1147453659437</v>
      </c>
      <c r="I18" s="204">
        <v>8</v>
      </c>
      <c r="J18" s="24">
        <f t="shared" si="3"/>
        <v>23645.573726829716</v>
      </c>
      <c r="L18" s="204">
        <v>8</v>
      </c>
      <c r="M18" s="23">
        <f t="shared" si="4"/>
        <v>238227.86863414859</v>
      </c>
    </row>
    <row r="19" spans="1:13" x14ac:dyDescent="0.25">
      <c r="A19" s="4">
        <v>0.375</v>
      </c>
      <c r="B19" s="4">
        <v>1.129962743485216</v>
      </c>
      <c r="C19" s="4">
        <f t="shared" si="0"/>
        <v>1.064981371742608</v>
      </c>
      <c r="D19" s="4">
        <f t="shared" si="1"/>
        <v>1.0324906858713039</v>
      </c>
      <c r="F19" s="204">
        <v>9</v>
      </c>
      <c r="G19" s="23">
        <f t="shared" si="2"/>
        <v>2711.9105843645184</v>
      </c>
      <c r="I19" s="204">
        <v>9</v>
      </c>
      <c r="J19" s="24">
        <f t="shared" si="3"/>
        <v>25559.552921822593</v>
      </c>
      <c r="L19" s="204">
        <v>9</v>
      </c>
      <c r="M19" s="23">
        <f t="shared" si="4"/>
        <v>247797.76460911293</v>
      </c>
    </row>
    <row r="20" spans="1:13" x14ac:dyDescent="0.25">
      <c r="A20" s="4">
        <v>0.41666666699999999</v>
      </c>
      <c r="B20" s="4">
        <v>1.255788842063815</v>
      </c>
      <c r="C20" s="4">
        <f t="shared" si="0"/>
        <v>1.1278944210319075</v>
      </c>
      <c r="D20" s="4">
        <f t="shared" si="1"/>
        <v>1.0639472105159538</v>
      </c>
      <c r="F20" s="204">
        <v>10</v>
      </c>
      <c r="G20" s="23">
        <f t="shared" si="2"/>
        <v>3013.8932209531558</v>
      </c>
      <c r="I20" s="204">
        <v>10</v>
      </c>
      <c r="J20" s="24">
        <f t="shared" si="3"/>
        <v>27069.466104765779</v>
      </c>
      <c r="L20" s="204">
        <v>10</v>
      </c>
      <c r="M20" s="23">
        <f t="shared" si="4"/>
        <v>255347.33052382889</v>
      </c>
    </row>
    <row r="21" spans="1:13" x14ac:dyDescent="0.25">
      <c r="A21" s="4">
        <v>0.45833333300000001</v>
      </c>
      <c r="B21" s="4">
        <v>1.3292849806740759</v>
      </c>
      <c r="C21" s="4">
        <f t="shared" si="0"/>
        <v>1.1646424903370378</v>
      </c>
      <c r="D21" s="4">
        <f t="shared" si="1"/>
        <v>1.0823212451685189</v>
      </c>
      <c r="F21" s="204">
        <v>11</v>
      </c>
      <c r="G21" s="23">
        <f t="shared" si="2"/>
        <v>3190.2839536177821</v>
      </c>
      <c r="I21" s="204">
        <v>11</v>
      </c>
      <c r="J21" s="24">
        <f t="shared" si="3"/>
        <v>27951.419768088908</v>
      </c>
      <c r="L21" s="204">
        <v>11</v>
      </c>
      <c r="M21" s="23">
        <f t="shared" si="4"/>
        <v>259757.09884044455</v>
      </c>
    </row>
    <row r="22" spans="1:13" x14ac:dyDescent="0.25">
      <c r="A22" s="4">
        <v>0.5</v>
      </c>
      <c r="B22" s="4">
        <v>1.3447105581983232</v>
      </c>
      <c r="C22" s="4">
        <f t="shared" si="0"/>
        <v>1.1723552790991616</v>
      </c>
      <c r="D22" s="4">
        <f t="shared" si="1"/>
        <v>1.0861776395495808</v>
      </c>
      <c r="F22" s="204">
        <v>12</v>
      </c>
      <c r="G22" s="23">
        <f t="shared" si="2"/>
        <v>3227.3053396759756</v>
      </c>
      <c r="I22" s="204">
        <v>12</v>
      </c>
      <c r="J22" s="24">
        <f t="shared" si="3"/>
        <v>28136.526698379879</v>
      </c>
      <c r="L22" s="204">
        <v>12</v>
      </c>
      <c r="M22" s="23">
        <f t="shared" si="4"/>
        <v>260682.63349189938</v>
      </c>
    </row>
    <row r="23" spans="1:13" x14ac:dyDescent="0.25">
      <c r="A23" s="4">
        <v>0.54166666699999999</v>
      </c>
      <c r="B23" s="4">
        <v>1.309829505464472</v>
      </c>
      <c r="C23" s="4">
        <f t="shared" si="0"/>
        <v>1.1549147527322359</v>
      </c>
      <c r="D23" s="4">
        <f t="shared" si="1"/>
        <v>1.0774573763661179</v>
      </c>
      <c r="F23" s="204">
        <v>13</v>
      </c>
      <c r="G23" s="23">
        <f t="shared" si="2"/>
        <v>3143.5908131147326</v>
      </c>
      <c r="I23" s="204">
        <v>13</v>
      </c>
      <c r="J23" s="24">
        <f t="shared" si="3"/>
        <v>27717.95406557366</v>
      </c>
      <c r="L23" s="204">
        <v>13</v>
      </c>
      <c r="M23" s="23">
        <f t="shared" si="4"/>
        <v>258589.77032786832</v>
      </c>
    </row>
    <row r="24" spans="1:13" x14ac:dyDescent="0.25">
      <c r="A24" s="4">
        <v>0.58333333300000001</v>
      </c>
      <c r="B24" s="4">
        <v>1.2430191716043275</v>
      </c>
      <c r="C24" s="4">
        <f t="shared" si="0"/>
        <v>1.1215095858021638</v>
      </c>
      <c r="D24" s="4">
        <f t="shared" si="1"/>
        <v>1.0607547929010819</v>
      </c>
      <c r="F24" s="204">
        <v>14</v>
      </c>
      <c r="G24" s="23">
        <f t="shared" si="2"/>
        <v>2983.2460118503859</v>
      </c>
      <c r="I24" s="204">
        <v>14</v>
      </c>
      <c r="J24" s="24">
        <f t="shared" si="3"/>
        <v>26916.230059251931</v>
      </c>
      <c r="L24" s="204">
        <v>14</v>
      </c>
      <c r="M24" s="23">
        <f t="shared" si="4"/>
        <v>254581.15029625964</v>
      </c>
    </row>
    <row r="25" spans="1:13" x14ac:dyDescent="0.25">
      <c r="A25" s="4">
        <v>0.625</v>
      </c>
      <c r="B25" s="4">
        <v>1.1677306805222387</v>
      </c>
      <c r="C25" s="4">
        <f t="shared" si="0"/>
        <v>1.0838653402611194</v>
      </c>
      <c r="D25" s="4">
        <f t="shared" si="1"/>
        <v>1.0419326701305596</v>
      </c>
      <c r="F25" s="204">
        <v>15</v>
      </c>
      <c r="G25" s="23">
        <f t="shared" si="2"/>
        <v>2802.5536332533729</v>
      </c>
      <c r="I25" s="204">
        <v>15</v>
      </c>
      <c r="J25" s="24">
        <f t="shared" si="3"/>
        <v>26012.768166266866</v>
      </c>
      <c r="L25" s="204">
        <v>15</v>
      </c>
      <c r="M25" s="23">
        <f t="shared" si="4"/>
        <v>250063.8408313343</v>
      </c>
    </row>
    <row r="26" spans="1:13" x14ac:dyDescent="0.25">
      <c r="A26" s="4">
        <v>0.66666666699999999</v>
      </c>
      <c r="B26" s="4">
        <v>1.105827042226494</v>
      </c>
      <c r="C26" s="4">
        <f t="shared" si="0"/>
        <v>1.052913521113247</v>
      </c>
      <c r="D26" s="4">
        <f t="shared" si="1"/>
        <v>1.0264567605566235</v>
      </c>
      <c r="F26" s="204">
        <v>16</v>
      </c>
      <c r="G26" s="23">
        <f t="shared" si="2"/>
        <v>2653.9849013435855</v>
      </c>
      <c r="I26" s="204">
        <v>16</v>
      </c>
      <c r="J26" s="24">
        <f t="shared" si="3"/>
        <v>25269.924506717929</v>
      </c>
      <c r="L26" s="204">
        <v>16</v>
      </c>
      <c r="M26" s="23">
        <f t="shared" si="4"/>
        <v>246349.62253358963</v>
      </c>
    </row>
    <row r="27" spans="1:13" x14ac:dyDescent="0.25">
      <c r="A27" s="4">
        <v>0.70833333300000001</v>
      </c>
      <c r="B27" s="4">
        <v>1.0716098389832069</v>
      </c>
      <c r="C27" s="4">
        <f t="shared" si="0"/>
        <v>1.0358049194916035</v>
      </c>
      <c r="D27" s="4">
        <f t="shared" si="1"/>
        <v>1.0179024597458017</v>
      </c>
      <c r="F27" s="204">
        <v>17</v>
      </c>
      <c r="G27" s="23">
        <f t="shared" si="2"/>
        <v>2571.8636135596967</v>
      </c>
      <c r="I27" s="204">
        <v>17</v>
      </c>
      <c r="J27" s="24">
        <f t="shared" si="3"/>
        <v>24859.318067798482</v>
      </c>
      <c r="L27" s="204">
        <v>17</v>
      </c>
      <c r="M27" s="23">
        <f t="shared" si="4"/>
        <v>244296.59033899242</v>
      </c>
    </row>
    <row r="28" spans="1:13" x14ac:dyDescent="0.25">
      <c r="A28" s="4">
        <v>0.75</v>
      </c>
      <c r="B28" s="4">
        <v>1.0681428773763031</v>
      </c>
      <c r="C28" s="4">
        <f t="shared" si="0"/>
        <v>1.0340714386881515</v>
      </c>
      <c r="D28" s="4">
        <f t="shared" si="1"/>
        <v>1.0170357193440758</v>
      </c>
      <c r="F28" s="204">
        <v>18</v>
      </c>
      <c r="G28" s="23">
        <f t="shared" si="2"/>
        <v>2563.5429057031274</v>
      </c>
      <c r="I28" s="204">
        <v>18</v>
      </c>
      <c r="J28" s="24">
        <f t="shared" si="3"/>
        <v>24817.714528515637</v>
      </c>
      <c r="L28" s="204">
        <v>18</v>
      </c>
      <c r="M28" s="23">
        <f t="shared" si="4"/>
        <v>244088.57264257819</v>
      </c>
    </row>
    <row r="29" spans="1:13" x14ac:dyDescent="0.25">
      <c r="A29" s="4">
        <v>0.79166666699999999</v>
      </c>
      <c r="B29" s="4">
        <v>1.0868472666656483</v>
      </c>
      <c r="C29" s="4">
        <f t="shared" si="0"/>
        <v>1.0434236333328242</v>
      </c>
      <c r="D29" s="4">
        <f t="shared" si="1"/>
        <v>1.0217118166664121</v>
      </c>
      <c r="F29" s="204">
        <v>19</v>
      </c>
      <c r="G29" s="23">
        <f t="shared" si="2"/>
        <v>2608.433439997556</v>
      </c>
      <c r="I29" s="204">
        <v>19</v>
      </c>
      <c r="J29" s="24">
        <f t="shared" si="3"/>
        <v>25042.16719998778</v>
      </c>
      <c r="L29" s="204">
        <v>19</v>
      </c>
      <c r="M29" s="23">
        <f t="shared" si="4"/>
        <v>245210.83599993889</v>
      </c>
    </row>
    <row r="30" spans="1:13" x14ac:dyDescent="0.25">
      <c r="A30" s="4">
        <v>0.83333333300000001</v>
      </c>
      <c r="B30" s="4">
        <v>1.11044807059998</v>
      </c>
      <c r="C30" s="4">
        <f t="shared" si="0"/>
        <v>1.05522403529999</v>
      </c>
      <c r="D30" s="4">
        <f t="shared" si="1"/>
        <v>1.027612017649995</v>
      </c>
      <c r="F30" s="204">
        <v>20</v>
      </c>
      <c r="G30" s="23">
        <f t="shared" si="2"/>
        <v>2665.0753694399518</v>
      </c>
      <c r="I30" s="204">
        <v>20</v>
      </c>
      <c r="J30" s="24">
        <f t="shared" si="3"/>
        <v>25325.376847199761</v>
      </c>
      <c r="L30" s="204">
        <v>20</v>
      </c>
      <c r="M30" s="23">
        <f t="shared" si="4"/>
        <v>246626.88423599879</v>
      </c>
    </row>
    <row r="31" spans="1:13" x14ac:dyDescent="0.25">
      <c r="A31" s="4">
        <v>0.875</v>
      </c>
      <c r="B31" s="4">
        <v>1.1184388233322677</v>
      </c>
      <c r="C31" s="4">
        <f t="shared" si="0"/>
        <v>1.0592194116661338</v>
      </c>
      <c r="D31" s="4">
        <f t="shared" si="1"/>
        <v>1.0296097058330669</v>
      </c>
      <c r="F31" s="204">
        <v>21</v>
      </c>
      <c r="G31" s="23">
        <f t="shared" si="2"/>
        <v>2684.2531759974427</v>
      </c>
      <c r="I31" s="204">
        <v>21</v>
      </c>
      <c r="J31" s="24">
        <f t="shared" si="3"/>
        <v>25421.265879987212</v>
      </c>
      <c r="L31" s="204">
        <v>21</v>
      </c>
      <c r="M31" s="23">
        <f t="shared" si="4"/>
        <v>247106.32939993605</v>
      </c>
    </row>
    <row r="32" spans="1:13" x14ac:dyDescent="0.25">
      <c r="A32" s="4">
        <v>0.91666666699999999</v>
      </c>
      <c r="B32" s="4">
        <v>1.0935427445079926</v>
      </c>
      <c r="C32" s="4">
        <f t="shared" si="0"/>
        <v>1.0467713722539962</v>
      </c>
      <c r="D32" s="4">
        <f t="shared" si="1"/>
        <v>1.0233856861269981</v>
      </c>
      <c r="F32" s="204">
        <v>22</v>
      </c>
      <c r="G32" s="23">
        <f t="shared" si="2"/>
        <v>2624.5025868191824</v>
      </c>
      <c r="I32" s="204">
        <v>22</v>
      </c>
      <c r="J32" s="24">
        <f t="shared" si="3"/>
        <v>25122.51293409591</v>
      </c>
      <c r="L32" s="204">
        <v>22</v>
      </c>
      <c r="M32" s="23">
        <f t="shared" si="4"/>
        <v>245612.56467047954</v>
      </c>
    </row>
    <row r="33" spans="1:13" x14ac:dyDescent="0.25">
      <c r="A33" s="4">
        <v>0.95833333300000001</v>
      </c>
      <c r="B33" s="4">
        <v>1.0273735091394558</v>
      </c>
      <c r="C33" s="4">
        <f t="shared" si="0"/>
        <v>1.0136867545697279</v>
      </c>
      <c r="D33" s="4">
        <f t="shared" si="1"/>
        <v>1.0068433772848639</v>
      </c>
      <c r="F33" s="204">
        <v>23</v>
      </c>
      <c r="G33" s="23">
        <f t="shared" si="2"/>
        <v>2465.6964219346937</v>
      </c>
      <c r="I33" s="204">
        <v>23</v>
      </c>
      <c r="J33" s="24">
        <f t="shared" si="3"/>
        <v>24328.48210967347</v>
      </c>
      <c r="L33" s="204">
        <v>23</v>
      </c>
      <c r="M33" s="23">
        <f t="shared" si="4"/>
        <v>241642.41054836733</v>
      </c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showGridLines="0" showRowColHeaders="0" workbookViewId="0">
      <selection activeCell="D5" sqref="D5:F5"/>
    </sheetView>
  </sheetViews>
  <sheetFormatPr baseColWidth="10" defaultColWidth="9.140625" defaultRowHeight="15" x14ac:dyDescent="0.25"/>
  <cols>
    <col min="1" max="1" width="3.7109375" customWidth="1"/>
    <col min="2" max="2" width="26.42578125" customWidth="1"/>
    <col min="3" max="3" width="14.7109375" customWidth="1"/>
    <col min="6" max="6" width="20" customWidth="1"/>
    <col min="7" max="7" width="7.140625" customWidth="1"/>
    <col min="8" max="8" width="39.5703125" customWidth="1"/>
    <col min="9" max="9" width="8.28515625" customWidth="1"/>
    <col min="10" max="10" width="8.5703125" customWidth="1"/>
    <col min="11" max="11" width="21.140625" customWidth="1"/>
  </cols>
  <sheetData>
    <row r="1" spans="2:11" ht="15.75" thickBot="1" x14ac:dyDescent="0.3"/>
    <row r="2" spans="2:11" ht="18.75" customHeight="1" x14ac:dyDescent="0.25">
      <c r="B2" s="60" t="s">
        <v>138</v>
      </c>
      <c r="C2" s="48" t="s">
        <v>1</v>
      </c>
      <c r="D2" s="48" t="s">
        <v>105</v>
      </c>
      <c r="E2" s="48" t="s">
        <v>136</v>
      </c>
      <c r="F2" s="49" t="s">
        <v>137</v>
      </c>
      <c r="H2" s="62" t="s">
        <v>140</v>
      </c>
      <c r="I2" s="63"/>
      <c r="J2" s="63"/>
      <c r="K2" s="64"/>
    </row>
    <row r="3" spans="2:11" ht="18.75" customHeight="1" x14ac:dyDescent="0.25">
      <c r="B3" s="50" t="s">
        <v>104</v>
      </c>
      <c r="C3" s="58" t="s">
        <v>95</v>
      </c>
      <c r="D3" s="51">
        <f>E3+Balances!C6+Balances!C10+SUM(Balances!C15:C20)</f>
        <v>320</v>
      </c>
      <c r="E3" s="51">
        <f>F3+Balances!C5</f>
        <v>133</v>
      </c>
      <c r="F3" s="52">
        <f>Balances!C3+Balances!C4+Balances!C14</f>
        <v>65</v>
      </c>
      <c r="H3" s="65" t="s">
        <v>0</v>
      </c>
      <c r="I3" s="25" t="s">
        <v>105</v>
      </c>
      <c r="J3" s="25" t="s">
        <v>136</v>
      </c>
      <c r="K3" s="66" t="s">
        <v>137</v>
      </c>
    </row>
    <row r="4" spans="2:11" ht="18.75" customHeight="1" x14ac:dyDescent="0.25">
      <c r="B4" s="50" t="s">
        <v>185</v>
      </c>
      <c r="C4" s="58" t="s">
        <v>253</v>
      </c>
      <c r="D4" s="123">
        <v>0.95</v>
      </c>
      <c r="E4" s="123">
        <v>0.95</v>
      </c>
      <c r="F4" s="124">
        <v>0.95</v>
      </c>
      <c r="H4" s="44" t="s">
        <v>2</v>
      </c>
      <c r="I4" s="25" t="s">
        <v>117</v>
      </c>
      <c r="J4" s="25" t="s">
        <v>117</v>
      </c>
      <c r="K4" s="66" t="s">
        <v>117</v>
      </c>
    </row>
    <row r="5" spans="2:11" ht="18.75" customHeight="1" x14ac:dyDescent="0.25">
      <c r="B5" s="50" t="s">
        <v>186</v>
      </c>
      <c r="C5" s="59" t="s">
        <v>139</v>
      </c>
      <c r="D5" s="123">
        <v>0.65</v>
      </c>
      <c r="E5" s="123">
        <v>0.65</v>
      </c>
      <c r="F5" s="124">
        <v>0.65</v>
      </c>
      <c r="H5" s="44" t="s">
        <v>3</v>
      </c>
      <c r="I5" s="25" t="s">
        <v>118</v>
      </c>
      <c r="J5" s="25" t="s">
        <v>118</v>
      </c>
      <c r="K5" s="66" t="s">
        <v>118</v>
      </c>
    </row>
    <row r="6" spans="2:11" ht="18.75" customHeight="1" x14ac:dyDescent="0.25">
      <c r="B6" s="50" t="s">
        <v>187</v>
      </c>
      <c r="C6" s="58" t="s">
        <v>254</v>
      </c>
      <c r="D6" s="53">
        <f>D4*D3</f>
        <v>304</v>
      </c>
      <c r="E6" s="53">
        <f>E4*E3</f>
        <v>126.35</v>
      </c>
      <c r="F6" s="54">
        <f>F4*F3</f>
        <v>61.75</v>
      </c>
      <c r="H6" s="44" t="s">
        <v>4</v>
      </c>
      <c r="I6" s="25" t="s">
        <v>119</v>
      </c>
      <c r="J6" s="25" t="s">
        <v>119</v>
      </c>
      <c r="K6" s="66" t="s">
        <v>119</v>
      </c>
    </row>
    <row r="7" spans="2:11" ht="18.75" customHeight="1" thickBot="1" x14ac:dyDescent="0.3">
      <c r="B7" s="55" t="s">
        <v>188</v>
      </c>
      <c r="C7" s="61" t="s">
        <v>254</v>
      </c>
      <c r="D7" s="56">
        <f>D6*D5</f>
        <v>197.6</v>
      </c>
      <c r="E7" s="56">
        <f>E6*E5</f>
        <v>82.127499999999998</v>
      </c>
      <c r="F7" s="57">
        <f>F6*F5</f>
        <v>40.137500000000003</v>
      </c>
      <c r="H7" s="44" t="s">
        <v>5</v>
      </c>
      <c r="I7" s="25" t="s">
        <v>120</v>
      </c>
      <c r="J7" s="25" t="s">
        <v>120</v>
      </c>
      <c r="K7" s="66"/>
    </row>
    <row r="8" spans="2:11" ht="18" x14ac:dyDescent="0.25">
      <c r="H8" s="44" t="s">
        <v>6</v>
      </c>
      <c r="I8" s="25" t="s">
        <v>121</v>
      </c>
      <c r="J8" s="25"/>
      <c r="K8" s="66"/>
    </row>
    <row r="9" spans="2:11" ht="18" x14ac:dyDescent="0.25">
      <c r="H9" s="44" t="s">
        <v>7</v>
      </c>
      <c r="I9" s="25" t="s">
        <v>122</v>
      </c>
      <c r="J9" s="25" t="s">
        <v>122</v>
      </c>
      <c r="K9" s="66" t="s">
        <v>122</v>
      </c>
    </row>
    <row r="10" spans="2:11" ht="18" x14ac:dyDescent="0.25">
      <c r="H10" s="44" t="s">
        <v>8</v>
      </c>
      <c r="I10" s="25" t="s">
        <v>123</v>
      </c>
      <c r="J10" s="25" t="s">
        <v>123</v>
      </c>
      <c r="K10" s="66"/>
    </row>
    <row r="11" spans="2:11" ht="18.75" thickBot="1" x14ac:dyDescent="0.3">
      <c r="H11" s="44" t="s">
        <v>9</v>
      </c>
      <c r="I11" s="25" t="s">
        <v>124</v>
      </c>
      <c r="J11" s="25"/>
      <c r="K11" s="66"/>
    </row>
    <row r="12" spans="2:11" ht="18" x14ac:dyDescent="0.25">
      <c r="B12" s="60" t="s">
        <v>149</v>
      </c>
      <c r="C12" s="109" t="s">
        <v>153</v>
      </c>
      <c r="D12" s="109" t="s">
        <v>219</v>
      </c>
      <c r="E12" s="109" t="s">
        <v>152</v>
      </c>
      <c r="H12" s="44" t="s">
        <v>10</v>
      </c>
      <c r="I12" s="25" t="s">
        <v>125</v>
      </c>
      <c r="J12" s="25"/>
      <c r="K12" s="66"/>
    </row>
    <row r="13" spans="2:11" ht="18" x14ac:dyDescent="0.25">
      <c r="B13" s="69" t="s">
        <v>63</v>
      </c>
      <c r="C13" s="170">
        <v>0.05</v>
      </c>
      <c r="D13" s="121"/>
      <c r="E13" s="172">
        <v>0.15</v>
      </c>
      <c r="H13" s="44" t="s">
        <v>127</v>
      </c>
      <c r="I13" s="25" t="s">
        <v>126</v>
      </c>
      <c r="J13" s="25"/>
      <c r="K13" s="66"/>
    </row>
    <row r="14" spans="2:11" ht="18" x14ac:dyDescent="0.25">
      <c r="B14" s="69" t="s">
        <v>150</v>
      </c>
      <c r="C14" s="170">
        <v>0.1</v>
      </c>
      <c r="D14" s="121"/>
      <c r="E14" s="172">
        <v>0.25</v>
      </c>
      <c r="H14" s="44" t="s">
        <v>11</v>
      </c>
      <c r="I14" s="25" t="s">
        <v>128</v>
      </c>
      <c r="J14" s="25"/>
      <c r="K14" s="66"/>
    </row>
    <row r="15" spans="2:11" ht="18.75" thickBot="1" x14ac:dyDescent="0.3">
      <c r="B15" s="70" t="s">
        <v>151</v>
      </c>
      <c r="C15" s="171">
        <v>0.05</v>
      </c>
      <c r="D15" s="122"/>
      <c r="E15" s="173">
        <v>0.15</v>
      </c>
      <c r="H15" s="44" t="s">
        <v>12</v>
      </c>
      <c r="I15" s="25" t="s">
        <v>129</v>
      </c>
      <c r="J15" s="25"/>
      <c r="K15" s="66"/>
    </row>
    <row r="16" spans="2:11" ht="18" x14ac:dyDescent="0.25">
      <c r="H16" s="44" t="s">
        <v>13</v>
      </c>
      <c r="I16" s="25" t="s">
        <v>130</v>
      </c>
      <c r="J16" s="25"/>
      <c r="K16" s="66"/>
    </row>
    <row r="17" spans="6:11" ht="18" x14ac:dyDescent="0.25">
      <c r="H17" s="44" t="s">
        <v>132</v>
      </c>
      <c r="I17" s="25" t="s">
        <v>131</v>
      </c>
      <c r="J17" s="25"/>
      <c r="K17" s="66"/>
    </row>
    <row r="18" spans="6:11" ht="18" x14ac:dyDescent="0.25">
      <c r="H18" s="44" t="s">
        <v>134</v>
      </c>
      <c r="I18" s="25" t="s">
        <v>133</v>
      </c>
      <c r="J18" s="25"/>
      <c r="K18" s="66"/>
    </row>
    <row r="19" spans="6:11" ht="18.75" thickBot="1" x14ac:dyDescent="0.3">
      <c r="H19" s="39" t="s">
        <v>14</v>
      </c>
      <c r="I19" s="67" t="s">
        <v>135</v>
      </c>
      <c r="J19" s="67"/>
      <c r="K19" s="68"/>
    </row>
    <row r="24" spans="6:11" x14ac:dyDescent="0.25">
      <c r="F24" s="243"/>
    </row>
    <row r="25" spans="6:11" x14ac:dyDescent="0.25">
      <c r="F25" s="244"/>
    </row>
    <row r="26" spans="6:11" x14ac:dyDescent="0.25">
      <c r="F26" s="244"/>
    </row>
  </sheetData>
  <sheetProtection selectLockedCells="1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B188B0CA-5931-4E28-95BE-DD3E802EAF87}">
            <xm:f>NOT(ISERROR(SEARCH($E$12,D12)))</xm:f>
            <xm:f>$E$12</xm:f>
            <x14:dxf>
              <fill>
                <patternFill>
                  <bgColor rgb="FFFF3300"/>
                </patternFill>
              </fill>
            </x14:dxf>
          </x14:cfRule>
          <x14:cfRule type="containsText" priority="2" operator="containsText" id="{DB301110-77F5-42B8-B9EE-03E42A600247}">
            <xm:f>NOT(ISERROR(SEARCH($D$12,D12)))</xm:f>
            <xm:f>$D$12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3" operator="containsText" id="{4640F1BC-6BA0-4DEC-8FA3-E227FB9F282B}">
            <xm:f>NOT(ISERROR(SEARCH($C$12,D12)))</xm:f>
            <xm:f>$C$12</xm:f>
            <x14:dxf>
              <fill>
                <patternFill>
                  <bgColor theme="9" tint="0.39994506668294322"/>
                </patternFill>
              </fill>
            </x14:dxf>
          </x14:cfRule>
          <xm:sqref>D12:E12</xm:sqref>
        </x14:conditionalFormatting>
        <x14:conditionalFormatting xmlns:xm="http://schemas.microsoft.com/office/excel/2006/main">
          <x14:cfRule type="containsText" priority="4" operator="containsText" id="{026926E8-3529-45F2-A25B-0FC3AFD6029E}">
            <xm:f>NOT(ISERROR(SEARCH($E$12,C12)))</xm:f>
            <xm:f>$E$12</xm:f>
            <x14:dxf>
              <fill>
                <patternFill>
                  <bgColor rgb="FFFF3300"/>
                </patternFill>
              </fill>
            </x14:dxf>
          </x14:cfRule>
          <x14:cfRule type="containsText" priority="5" operator="containsText" id="{AA047A29-9D2E-4C9C-A48D-82FE23C682DF}">
            <xm:f>NOT(ISERROR(SEARCH($D$12,C12)))</xm:f>
            <xm:f>$D$12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6" operator="containsText" id="{4B44506A-2BED-463D-B50D-AF6BFEF12AFC}">
            <xm:f>NOT(ISERROR(SEARCH($C$12,C12)))</xm:f>
            <xm:f>$C$12</xm:f>
            <x14:dxf>
              <fill>
                <patternFill>
                  <bgColor theme="9" tint="0.39994506668294322"/>
                </patternFill>
              </fill>
            </x14:dxf>
          </x14:cfRule>
          <xm:sqref>C12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Help</vt:lpstr>
      <vt:lpstr>Data</vt:lpstr>
      <vt:lpstr>Check fractions</vt:lpstr>
      <vt:lpstr>Sumo forms</vt:lpstr>
      <vt:lpstr>Balances</vt:lpstr>
      <vt:lpstr>Diurnal flow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Takacs</dc:creator>
  <cp:lastModifiedBy>Helene_Dynamita</cp:lastModifiedBy>
  <dcterms:created xsi:type="dcterms:W3CDTF">2014-09-09T20:53:53Z</dcterms:created>
  <dcterms:modified xsi:type="dcterms:W3CDTF">2016-11-21T08:50:18Z</dcterms:modified>
</cp:coreProperties>
</file>