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kkikan\Desktop\Harkat 13.5.2019\"/>
    </mc:Choice>
  </mc:AlternateContent>
  <bookViews>
    <workbookView xWindow="240" yWindow="120" windowWidth="15060" windowHeight="5436" firstSheet="1" activeTab="2"/>
  </bookViews>
  <sheets>
    <sheet name="Example_cash Flow 1" sheetId="9" r:id="rId1"/>
    <sheet name="Example cash flow 2" sheetId="10" r:id="rId2"/>
    <sheet name="Example cash flow 3" sheetId="8" r:id="rId3"/>
    <sheet name="Exercise_DFC_solution" sheetId="6" r:id="rId4"/>
    <sheet name="Comparable sales_assignment" sheetId="17" r:id="rId5"/>
  </sheets>
  <calcPr calcId="162913"/>
</workbook>
</file>

<file path=xl/calcChain.xml><?xml version="1.0" encoding="utf-8"?>
<calcChain xmlns="http://schemas.openxmlformats.org/spreadsheetml/2006/main">
  <c r="G16" i="8" l="1"/>
  <c r="E20" i="6"/>
  <c r="B20" i="9"/>
  <c r="C20" i="9" s="1"/>
  <c r="D20" i="9" s="1"/>
  <c r="E20" i="9" s="1"/>
  <c r="F20" i="9" s="1"/>
  <c r="G20" i="9" s="1"/>
  <c r="C19" i="9"/>
  <c r="D19" i="9" s="1"/>
  <c r="E19" i="9" s="1"/>
  <c r="F19" i="9" s="1"/>
  <c r="G19" i="9" s="1"/>
  <c r="B19" i="9"/>
  <c r="G15" i="9"/>
  <c r="F15" i="9"/>
  <c r="E15" i="9"/>
  <c r="D15" i="9"/>
  <c r="C15" i="9"/>
  <c r="B15" i="9"/>
  <c r="F14" i="9"/>
  <c r="D14" i="9"/>
  <c r="C14" i="9"/>
  <c r="C16" i="9" s="1"/>
  <c r="B14" i="9"/>
  <c r="B16" i="9" s="1"/>
  <c r="B18" i="9" s="1"/>
  <c r="B21" i="9" s="1"/>
  <c r="F12" i="9"/>
  <c r="E12" i="9"/>
  <c r="E14" i="9" s="1"/>
  <c r="D12" i="9"/>
  <c r="C12" i="9"/>
  <c r="B12" i="9"/>
  <c r="E11" i="9"/>
  <c r="F11" i="9" s="1"/>
  <c r="G11" i="9" s="1"/>
  <c r="D11" i="9"/>
  <c r="C11" i="9"/>
  <c r="C10" i="9"/>
  <c r="D10" i="9" s="1"/>
  <c r="E10" i="9" s="1"/>
  <c r="F10" i="9" s="1"/>
  <c r="G10" i="9" s="1"/>
  <c r="E7" i="9"/>
  <c r="C23" i="9" s="1"/>
  <c r="D16" i="9" l="1"/>
  <c r="C18" i="9"/>
  <c r="C21" i="9" s="1"/>
  <c r="F23" i="9"/>
  <c r="G23" i="9"/>
  <c r="D23" i="9"/>
  <c r="B23" i="9"/>
  <c r="B24" i="9" s="1"/>
  <c r="E23" i="9"/>
  <c r="E16" i="9" l="1"/>
  <c r="D18" i="9"/>
  <c r="D21" i="9" s="1"/>
  <c r="C24" i="9"/>
  <c r="D24" i="9" l="1"/>
  <c r="F16" i="9"/>
  <c r="E18" i="9"/>
  <c r="E21" i="9" s="1"/>
  <c r="E24" i="9" l="1"/>
  <c r="F18" i="9"/>
  <c r="F21" i="9" s="1"/>
  <c r="G16" i="9"/>
  <c r="G18" i="9" s="1"/>
  <c r="G21" i="9" s="1"/>
  <c r="B27" i="9" s="1"/>
  <c r="B28" i="9" s="1"/>
  <c r="F24" i="9" l="1"/>
  <c r="B26" i="9" s="1"/>
  <c r="B30" i="9" l="1"/>
  <c r="D26" i="9"/>
  <c r="B31" i="9" l="1"/>
  <c r="B22" i="9"/>
  <c r="B32" i="9"/>
  <c r="C22" i="9"/>
  <c r="D22" i="9"/>
  <c r="E22" i="9"/>
  <c r="D28" i="9"/>
  <c r="F22" i="9"/>
  <c r="C17" i="10" l="1"/>
  <c r="B16" i="8"/>
  <c r="B16" i="6"/>
  <c r="E23" i="6"/>
  <c r="E21" i="6"/>
  <c r="E24" i="6" s="1"/>
  <c r="B14" i="6"/>
  <c r="G23" i="6"/>
  <c r="G18" i="6"/>
  <c r="G16" i="6"/>
  <c r="G21" i="6"/>
  <c r="F21" i="6"/>
  <c r="D21" i="6"/>
  <c r="C21" i="6"/>
  <c r="B21" i="6"/>
  <c r="F16" i="6" l="1"/>
  <c r="C16" i="6"/>
  <c r="D16" i="6"/>
  <c r="E16" i="6"/>
  <c r="F14" i="6"/>
  <c r="C40" i="17" l="1"/>
  <c r="C41" i="17"/>
  <c r="F15" i="6"/>
  <c r="C39" i="17"/>
  <c r="B33" i="10" l="1"/>
  <c r="B20" i="8" l="1"/>
  <c r="C21" i="8" l="1"/>
  <c r="D21" i="8"/>
  <c r="E21" i="8"/>
  <c r="F21" i="8"/>
  <c r="G21" i="8"/>
  <c r="B21" i="8"/>
  <c r="D20" i="8"/>
  <c r="E20" i="8" s="1"/>
  <c r="F20" i="8" s="1"/>
  <c r="G20" i="8" s="1"/>
  <c r="C20" i="8"/>
  <c r="C20" i="10"/>
  <c r="B21" i="10"/>
  <c r="B22" i="10" s="1"/>
  <c r="B20" i="10"/>
  <c r="D20" i="10"/>
  <c r="C21" i="10" l="1"/>
  <c r="C22" i="10" l="1"/>
  <c r="D21" i="10"/>
  <c r="E21" i="10" s="1"/>
  <c r="B19" i="6"/>
  <c r="F21" i="10" l="1"/>
  <c r="G21" i="10" l="1"/>
  <c r="I32" i="17"/>
  <c r="G32" i="17"/>
  <c r="E32" i="17"/>
  <c r="C32" i="17"/>
  <c r="E13" i="6" l="1"/>
  <c r="D13" i="6"/>
  <c r="D17" i="10" l="1"/>
  <c r="E20" i="10" l="1"/>
  <c r="G16" i="10"/>
  <c r="F16" i="10"/>
  <c r="E16" i="10"/>
  <c r="D16" i="10"/>
  <c r="C16" i="10"/>
  <c r="B16" i="10"/>
  <c r="D15" i="10"/>
  <c r="F13" i="10"/>
  <c r="F15" i="10" s="1"/>
  <c r="E13" i="10"/>
  <c r="E15" i="10" s="1"/>
  <c r="D13" i="10"/>
  <c r="C13" i="10"/>
  <c r="C15" i="10" s="1"/>
  <c r="B13" i="10"/>
  <c r="B15" i="10" s="1"/>
  <c r="B17" i="10" s="1"/>
  <c r="B19" i="10" s="1"/>
  <c r="C12" i="10"/>
  <c r="D12" i="10" s="1"/>
  <c r="E12" i="10" s="1"/>
  <c r="F12" i="10" s="1"/>
  <c r="G12" i="10" s="1"/>
  <c r="D11" i="10"/>
  <c r="E11" i="10" s="1"/>
  <c r="C11" i="10"/>
  <c r="E7" i="10"/>
  <c r="F20" i="10" l="1"/>
  <c r="E22" i="10"/>
  <c r="C19" i="10"/>
  <c r="F11" i="10"/>
  <c r="G11" i="10" s="1"/>
  <c r="E24" i="10"/>
  <c r="D24" i="10"/>
  <c r="B24" i="10"/>
  <c r="B25" i="10" s="1"/>
  <c r="F24" i="10"/>
  <c r="C24" i="10"/>
  <c r="G20" i="10" l="1"/>
  <c r="G22" i="10" s="1"/>
  <c r="F22" i="10"/>
  <c r="C25" i="10"/>
  <c r="D19" i="10"/>
  <c r="D22" i="10" s="1"/>
  <c r="E17" i="10"/>
  <c r="G24" i="10"/>
  <c r="D25" i="10" l="1"/>
  <c r="E19" i="10"/>
  <c r="F17" i="10"/>
  <c r="E25" i="10" l="1"/>
  <c r="F19" i="10"/>
  <c r="G17" i="10"/>
  <c r="G19" i="10" s="1"/>
  <c r="B28" i="10" s="1"/>
  <c r="B29" i="10" s="1"/>
  <c r="F25" i="10" l="1"/>
  <c r="B27" i="10" s="1"/>
  <c r="B31" i="10" s="1"/>
  <c r="B32" i="10" l="1"/>
  <c r="B23" i="10"/>
  <c r="C23" i="10"/>
  <c r="D23" i="10"/>
  <c r="E23" i="10"/>
  <c r="F23" i="10"/>
  <c r="B19" i="8" l="1"/>
  <c r="C19" i="8" s="1"/>
  <c r="D19" i="8" s="1"/>
  <c r="E19" i="8" s="1"/>
  <c r="F19" i="8" s="1"/>
  <c r="G19" i="8" s="1"/>
  <c r="F12" i="8"/>
  <c r="E12" i="8"/>
  <c r="D12" i="8"/>
  <c r="C12" i="8"/>
  <c r="C14" i="8" s="1"/>
  <c r="B12" i="8"/>
  <c r="B14" i="8" s="1"/>
  <c r="B18" i="8" s="1"/>
  <c r="G15" i="8"/>
  <c r="F15" i="8"/>
  <c r="E15" i="8"/>
  <c r="D15" i="8"/>
  <c r="C15" i="8"/>
  <c r="B15" i="8"/>
  <c r="E7" i="8" s="1"/>
  <c r="F14" i="8"/>
  <c r="E14" i="8"/>
  <c r="C11" i="8"/>
  <c r="D11" i="8" s="1"/>
  <c r="E11" i="8" s="1"/>
  <c r="F11" i="8" s="1"/>
  <c r="G11" i="8" s="1"/>
  <c r="C10" i="8"/>
  <c r="D10" i="8" s="1"/>
  <c r="E10" i="8" s="1"/>
  <c r="F10" i="8" s="1"/>
  <c r="G10" i="8" s="1"/>
  <c r="C16" i="8" l="1"/>
  <c r="D14" i="8"/>
  <c r="E23" i="8"/>
  <c r="D23" i="8"/>
  <c r="G23" i="8"/>
  <c r="C23" i="8"/>
  <c r="F23" i="8"/>
  <c r="B23" i="8"/>
  <c r="F13" i="6"/>
  <c r="E14" i="6"/>
  <c r="D12" i="6"/>
  <c r="G15" i="6"/>
  <c r="E15" i="6"/>
  <c r="D15" i="6"/>
  <c r="C15" i="6"/>
  <c r="B15" i="6"/>
  <c r="E7" i="6" s="1"/>
  <c r="C12" i="6"/>
  <c r="C14" i="6" s="1"/>
  <c r="B12" i="6"/>
  <c r="C11" i="6"/>
  <c r="D11" i="6" s="1"/>
  <c r="E11" i="6" s="1"/>
  <c r="F11" i="6" s="1"/>
  <c r="G11" i="6" s="1"/>
  <c r="C10" i="6"/>
  <c r="D10" i="6" s="1"/>
  <c r="E10" i="6" s="1"/>
  <c r="F10" i="6" s="1"/>
  <c r="G10" i="6" s="1"/>
  <c r="D14" i="6" l="1"/>
  <c r="B18" i="6"/>
  <c r="C18" i="8"/>
  <c r="C24" i="8" s="1"/>
  <c r="D16" i="8"/>
  <c r="E16" i="8" s="1"/>
  <c r="B24" i="8"/>
  <c r="C18" i="6"/>
  <c r="C19" i="6"/>
  <c r="D19" i="6" s="1"/>
  <c r="E18" i="6"/>
  <c r="F18" i="6"/>
  <c r="D23" i="6"/>
  <c r="B23" i="6"/>
  <c r="B24" i="6" s="1"/>
  <c r="F23" i="6"/>
  <c r="C23" i="6"/>
  <c r="E19" i="6" l="1"/>
  <c r="F19" i="6" s="1"/>
  <c r="G19" i="6" s="1"/>
  <c r="D18" i="6"/>
  <c r="D24" i="6" s="1"/>
  <c r="F16" i="8"/>
  <c r="E18" i="8"/>
  <c r="E24" i="8" s="1"/>
  <c r="D18" i="8"/>
  <c r="D24" i="8" s="1"/>
  <c r="C24" i="6"/>
  <c r="F24" i="6"/>
  <c r="B27" i="6"/>
  <c r="B28" i="6" s="1"/>
  <c r="G18" i="8" l="1"/>
  <c r="F18" i="8"/>
  <c r="F24" i="8" s="1"/>
  <c r="B26" i="8" s="1"/>
  <c r="B26" i="6"/>
  <c r="B30" i="6" l="1"/>
  <c r="B32" i="6" s="1"/>
  <c r="B35" i="6" s="1"/>
  <c r="B31" i="6"/>
  <c r="B27" i="8"/>
  <c r="B28" i="8" s="1"/>
  <c r="B30" i="8" s="1"/>
  <c r="C22" i="6"/>
  <c r="F22" i="6"/>
  <c r="E22" i="6"/>
  <c r="D22" i="6"/>
  <c r="B22" i="6" l="1"/>
  <c r="B31" i="8"/>
  <c r="C22" i="8"/>
  <c r="F22" i="8"/>
  <c r="E22" i="8"/>
  <c r="D22" i="8"/>
  <c r="B32" i="8"/>
  <c r="B22" i="8"/>
</calcChain>
</file>

<file path=xl/sharedStrings.xml><?xml version="1.0" encoding="utf-8"?>
<sst xmlns="http://schemas.openxmlformats.org/spreadsheetml/2006/main" count="350" uniqueCount="153">
  <si>
    <t>€</t>
  </si>
  <si>
    <t>NEWSEC VALUATION OY</t>
  </si>
  <si>
    <t>Leasable area</t>
  </si>
  <si>
    <t>Rent</t>
  </si>
  <si>
    <t>Market rent</t>
  </si>
  <si>
    <t>Discount rate</t>
  </si>
  <si>
    <t xml:space="preserve">Gross rent </t>
  </si>
  <si>
    <t>Inflation</t>
  </si>
  <si>
    <t>Example, discounted cash flow, 5 year</t>
  </si>
  <si>
    <t>gross rent €/year x (1 + inflation%) (1,02)</t>
  </si>
  <si>
    <t>five (5) years ago, the factor is given by the formula 1 / (1.10 ^ 5) = 0.6209</t>
  </si>
  <si>
    <r>
      <t xml:space="preserve">NB! </t>
    </r>
    <r>
      <rPr>
        <sz val="10"/>
        <color theme="1"/>
        <rFont val="Arial"/>
        <family val="2"/>
      </rPr>
      <t>The final value is discounted by the sixth year cash flow,</t>
    </r>
  </si>
  <si>
    <t>1 / (1 + yield requirement% + inflation%) ^ accounting year 1,2,3, etc.</t>
  </si>
  <si>
    <t>Discounting Net Revenue at Discount Rate (8% + 2% = 10%)</t>
  </si>
  <si>
    <t>(6th year net return / yield requirement 8%)</t>
  </si>
  <si>
    <t>(final value x discount factor, 5 years ago)</t>
  </si>
  <si>
    <t>(sum of current value of cash flow + current value of end value)</t>
  </si>
  <si>
    <t>Initial yield</t>
  </si>
  <si>
    <t>Cash flow yield</t>
  </si>
  <si>
    <t>Cash flow yield 5 year</t>
  </si>
  <si>
    <t>The present value of the terminal value</t>
  </si>
  <si>
    <t>Final Value (Capitalization of Net Income)</t>
  </si>
  <si>
    <t>Annual net return,%</t>
  </si>
  <si>
    <t>Gross rent taking into account vacancy rate</t>
  </si>
  <si>
    <t xml:space="preserve">
Gross rent adjusted by inflation</t>
  </si>
  <si>
    <t>Vacancy rate</t>
  </si>
  <si>
    <t>Net return</t>
  </si>
  <si>
    <t>Current cash flow</t>
  </si>
  <si>
    <t>Discount factor</t>
  </si>
  <si>
    <t xml:space="preserve">
Sum of current cash flows</t>
  </si>
  <si>
    <t>NB! The final value is discounted by the sixth year cash flow, five (5) years ago</t>
  </si>
  <si>
    <t>Current rent</t>
  </si>
  <si>
    <t>Current contract maturity</t>
  </si>
  <si>
    <t>6 years</t>
  </si>
  <si>
    <t xml:space="preserve"> = netincome / the return value</t>
  </si>
  <si>
    <t>Cash flow yield requirement</t>
  </si>
  <si>
    <t>Residual yield requirement</t>
  </si>
  <si>
    <t>(6th year net return / yield requirement 10%)</t>
  </si>
  <si>
    <t>Required rate of return</t>
  </si>
  <si>
    <t>Gross rent</t>
  </si>
  <si>
    <t>Inflation assumption</t>
  </si>
  <si>
    <t>Gross rent adjusted by inflation</t>
  </si>
  <si>
    <t>Net income</t>
  </si>
  <si>
    <t>Annual net income %</t>
  </si>
  <si>
    <t>Net cash flows</t>
  </si>
  <si>
    <t xml:space="preserve">Terminal value </t>
  </si>
  <si>
    <t>(6. years net income / required rate of return 8%)</t>
  </si>
  <si>
    <t>Net cash flow (NCF)</t>
  </si>
  <si>
    <t>Terminal value's net present value (NPV)</t>
  </si>
  <si>
    <t>(Net cash flows + Terminal value's net present value (NPV))</t>
  </si>
  <si>
    <t>Gross rent €/year x (1 + inflation%) (1,02)</t>
  </si>
  <si>
    <t xml:space="preserve"> = net income/ productive value</t>
  </si>
  <si>
    <t>1 / (1+required rate of return % + inflation%) ^ year 1,2,3 etc.</t>
  </si>
  <si>
    <t xml:space="preserve">Discounting net incomes with discount rate (8%+2% =10 %) </t>
  </si>
  <si>
    <t>the fifth year's, the factor is given by the formula 1 / (1.10 ^ 5) = 0.6209</t>
  </si>
  <si>
    <r>
      <t xml:space="preserve">NB! </t>
    </r>
    <r>
      <rPr>
        <sz val="10"/>
        <color theme="3"/>
        <rFont val="Arial"/>
        <family val="2"/>
      </rPr>
      <t>The terminal value is discounted by the sixth year cash flow,</t>
    </r>
  </si>
  <si>
    <t>(terminal value x  the fifth year's discount factor)</t>
  </si>
  <si>
    <t>Gross rent €/year - (1 - x %)</t>
  </si>
  <si>
    <t>Condition</t>
  </si>
  <si>
    <t>Good</t>
  </si>
  <si>
    <t>Poor</t>
  </si>
  <si>
    <t>Hyvinkää</t>
  </si>
  <si>
    <t>05800</t>
  </si>
  <si>
    <t/>
  </si>
  <si>
    <t>Municipality</t>
  </si>
  <si>
    <t>District</t>
  </si>
  <si>
    <t>Object</t>
  </si>
  <si>
    <t>Commercial property</t>
  </si>
  <si>
    <t>Office</t>
  </si>
  <si>
    <t>Postal code</t>
  </si>
  <si>
    <t>Address</t>
  </si>
  <si>
    <t>Hämeenkatu 5</t>
  </si>
  <si>
    <t>Kauppalankatu 3</t>
  </si>
  <si>
    <t>Kauppalankatu 28</t>
  </si>
  <si>
    <t xml:space="preserve"> -</t>
  </si>
  <si>
    <t>Business, back room, toilet</t>
  </si>
  <si>
    <t>1room+kitchen</t>
  </si>
  <si>
    <t>Shop + cellar</t>
  </si>
  <si>
    <t>2 rooms and kitchen</t>
  </si>
  <si>
    <t>sale 1</t>
  </si>
  <si>
    <t>sale 2</t>
  </si>
  <si>
    <t>sale 3</t>
  </si>
  <si>
    <t>sale 4</t>
  </si>
  <si>
    <t>Area (m2)</t>
  </si>
  <si>
    <t>Contrsuction year</t>
  </si>
  <si>
    <t>Rooms</t>
  </si>
  <si>
    <t>Details</t>
  </si>
  <si>
    <t>Flat number</t>
  </si>
  <si>
    <t>Number of flats</t>
  </si>
  <si>
    <t xml:space="preserve">
The purchase price</t>
  </si>
  <si>
    <t xml:space="preserve">
The debt component</t>
  </si>
  <si>
    <t>Price without debt</t>
  </si>
  <si>
    <t>eur/m2</t>
  </si>
  <si>
    <t>Satisfying</t>
  </si>
  <si>
    <t>Date of delivery</t>
  </si>
  <si>
    <t>Buildingmaterial</t>
  </si>
  <si>
    <t>Brick</t>
  </si>
  <si>
    <t>Other</t>
  </si>
  <si>
    <t xml:space="preserve">
Concrete</t>
  </si>
  <si>
    <t>Concrete</t>
  </si>
  <si>
    <t>Extremely good</t>
  </si>
  <si>
    <t>Uudenmaankatu 40</t>
  </si>
  <si>
    <t>The target of evaluation</t>
  </si>
  <si>
    <t>Center</t>
  </si>
  <si>
    <t>Not center</t>
  </si>
  <si>
    <t>Suokatu 1</t>
  </si>
  <si>
    <t>smaller</t>
  </si>
  <si>
    <t>older</t>
  </si>
  <si>
    <t>less rooms</t>
  </si>
  <si>
    <t>worse condition</t>
  </si>
  <si>
    <t>better location</t>
  </si>
  <si>
    <t>same condition</t>
  </si>
  <si>
    <t>worse location</t>
  </si>
  <si>
    <t>Notes</t>
  </si>
  <si>
    <t>bigger</t>
  </si>
  <si>
    <t>Conclusions</t>
  </si>
  <si>
    <t>better condition</t>
  </si>
  <si>
    <t>Averages of adjusted prices (e/m2)</t>
  </si>
  <si>
    <t>Averages of original prices (e/m2)</t>
  </si>
  <si>
    <t>Number of floors</t>
  </si>
  <si>
    <t>Building material</t>
  </si>
  <si>
    <t>Price</t>
  </si>
  <si>
    <t>Retail</t>
  </si>
  <si>
    <t>Asset type</t>
  </si>
  <si>
    <t>Fingerpori</t>
  </si>
  <si>
    <t>Fingerporinkuja 12</t>
  </si>
  <si>
    <t>Fingerporinsuo 1</t>
  </si>
  <si>
    <t>Fingerporinpolku 1</t>
  </si>
  <si>
    <t>Fingerporinniitty 1</t>
  </si>
  <si>
    <t>Fingerporintie 2</t>
  </si>
  <si>
    <t>Market value</t>
  </si>
  <si>
    <t>Floor number</t>
  </si>
  <si>
    <t>Construction year</t>
  </si>
  <si>
    <t>Price counted with the average of adjusted prices</t>
  </si>
  <si>
    <t>CAPEX</t>
  </si>
  <si>
    <t>OPEX</t>
  </si>
  <si>
    <t>Date of transaction</t>
  </si>
  <si>
    <t>500 €/sqm</t>
  </si>
  <si>
    <t>€/sqm/month</t>
  </si>
  <si>
    <t>€/sqm</t>
  </si>
  <si>
    <t>The sale number 1 is in better location but the condition is worse and the building is older, so the target's price might be little higher than 1517 €/sqm</t>
  </si>
  <si>
    <t>The sale 2 is in better location and in better condition--&gt; targets price (e/m2) should be lower than 1750 €/sqm</t>
  </si>
  <si>
    <t>The sale number 3 is in worse location and in worse condition, so the price of the target should be higher than 1218 €/sqm</t>
  </si>
  <si>
    <t>Area (sqm)</t>
  </si>
  <si>
    <t>sqm</t>
  </si>
  <si>
    <t>Adjusted price  €/sqm</t>
  </si>
  <si>
    <t>Adjusted price €/sqm</t>
  </si>
  <si>
    <t>3,50 x 12 x 2000 sqm x (1 + inflation%) (1,02)</t>
  </si>
  <si>
    <t>3,50 x 12 x 90 sqm x (1 + inflation%) (1,02)</t>
  </si>
  <si>
    <t>Sale number 4 is in worse location and in same condition, so the target's price should be higher than 1200€/sqm</t>
  </si>
  <si>
    <t>Note vacancy rate 10% after 5th year!</t>
  </si>
  <si>
    <t>Investment</t>
  </si>
  <si>
    <t>Direct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</si>
</sst>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\ %"/>
    <numFmt numFmtId="165" formatCode="_-* #,##0\ _€_-;\-* #,##0\ _€_-;_-* &quot;-&quot;??\ _€_-;_-@_-"/>
    <numFmt numFmtId="166" formatCode="_-* #,##0.0000\ _€_-;\-* #,##0.0000\ _€_-;_-* &quot;-&quot;??\ _€_-;_-@_-"/>
    <numFmt numFmtId="167" formatCode="_-* #,##0.00\ _m_k_-;\-* #,##0.00\ _m_k_-;_-* &quot;-&quot;??\ _m_k_-;_-@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2"/>
      <color theme="4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167" fontId="1" fillId="0" borderId="0" applyFont="0" applyFill="0" applyBorder="0" applyAlignment="0" applyProtection="0"/>
    <xf numFmtId="0" fontId="12" fillId="0" borderId="0"/>
  </cellStyleXfs>
  <cellXfs count="126">
    <xf numFmtId="0" fontId="0" fillId="0" borderId="0" xfId="0"/>
    <xf numFmtId="14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3" fillId="0" borderId="0" xfId="0" applyFont="1"/>
    <xf numFmtId="165" fontId="0" fillId="0" borderId="0" xfId="1" applyNumberFormat="1" applyFont="1"/>
    <xf numFmtId="165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1" xfId="0" applyBorder="1"/>
    <xf numFmtId="165" fontId="0" fillId="0" borderId="0" xfId="1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3" xfId="0" applyFill="1" applyBorder="1"/>
    <xf numFmtId="0" fontId="0" fillId="0" borderId="1" xfId="0" applyFill="1" applyBorder="1"/>
    <xf numFmtId="0" fontId="1" fillId="0" borderId="0" xfId="0" applyFont="1"/>
    <xf numFmtId="164" fontId="0" fillId="0" borderId="0" xfId="2" applyNumberFormat="1" applyFont="1"/>
    <xf numFmtId="164" fontId="0" fillId="0" borderId="0" xfId="2" applyNumberFormat="1" applyFont="1" applyBorder="1" applyAlignment="1">
      <alignment horizontal="center"/>
    </xf>
    <xf numFmtId="0" fontId="1" fillId="0" borderId="4" xfId="0" applyFont="1" applyBorder="1"/>
    <xf numFmtId="165" fontId="0" fillId="0" borderId="0" xfId="1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/>
    <xf numFmtId="165" fontId="1" fillId="0" borderId="0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5" fontId="0" fillId="0" borderId="0" xfId="0" applyNumberFormat="1" applyBorder="1" applyAlignment="1">
      <alignment horizontal="center"/>
    </xf>
    <xf numFmtId="166" fontId="0" fillId="0" borderId="0" xfId="1" applyNumberFormat="1" applyFont="1" applyBorder="1"/>
    <xf numFmtId="165" fontId="0" fillId="0" borderId="0" xfId="1" applyNumberFormat="1" applyFont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164" fontId="0" fillId="2" borderId="8" xfId="2" applyNumberFormat="1" applyFont="1" applyFill="1" applyBorder="1" applyAlignment="1">
      <alignment horizontal="center"/>
    </xf>
    <xf numFmtId="165" fontId="0" fillId="0" borderId="7" xfId="1" applyNumberFormat="1" applyFont="1" applyBorder="1"/>
    <xf numFmtId="2" fontId="0" fillId="0" borderId="0" xfId="0" applyNumberFormat="1"/>
    <xf numFmtId="0" fontId="0" fillId="0" borderId="4" xfId="0" applyFill="1" applyBorder="1"/>
    <xf numFmtId="0" fontId="1" fillId="2" borderId="4" xfId="0" applyFont="1" applyFill="1" applyBorder="1"/>
    <xf numFmtId="166" fontId="0" fillId="0" borderId="5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165" fontId="0" fillId="0" borderId="0" xfId="1" applyNumberFormat="1" applyFont="1" applyBorder="1" applyAlignment="1">
      <alignment horizontal="left" indent="1"/>
    </xf>
    <xf numFmtId="9" fontId="1" fillId="0" borderId="0" xfId="0" applyNumberFormat="1" applyFont="1" applyBorder="1" applyAlignment="1">
      <alignment horizontal="left" indent="1"/>
    </xf>
    <xf numFmtId="165" fontId="1" fillId="0" borderId="0" xfId="1" applyNumberFormat="1" applyFont="1" applyBorder="1" applyAlignment="1">
      <alignment horizontal="left" indent="1"/>
    </xf>
    <xf numFmtId="165" fontId="0" fillId="0" borderId="0" xfId="0" applyNumberFormat="1" applyBorder="1" applyAlignment="1">
      <alignment horizontal="left" indent="1"/>
    </xf>
    <xf numFmtId="164" fontId="1" fillId="0" borderId="0" xfId="2" applyNumberFormat="1" applyFont="1" applyBorder="1" applyAlignment="1">
      <alignment horizontal="left" indent="1"/>
    </xf>
    <xf numFmtId="166" fontId="1" fillId="0" borderId="0" xfId="1" applyNumberFormat="1" applyFont="1" applyBorder="1"/>
    <xf numFmtId="165" fontId="1" fillId="0" borderId="0" xfId="1" applyNumberFormat="1" applyFont="1" applyBorder="1"/>
    <xf numFmtId="166" fontId="0" fillId="3" borderId="6" xfId="1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2" fillId="2" borderId="0" xfId="0" applyFont="1" applyFill="1"/>
    <xf numFmtId="165" fontId="2" fillId="2" borderId="0" xfId="0" applyNumberFormat="1" applyFont="1" applyFill="1"/>
    <xf numFmtId="164" fontId="2" fillId="2" borderId="0" xfId="2" applyNumberFormat="1" applyFont="1" applyFill="1"/>
    <xf numFmtId="0" fontId="5" fillId="0" borderId="0" xfId="0" applyFont="1"/>
    <xf numFmtId="0" fontId="7" fillId="0" borderId="0" xfId="3"/>
    <xf numFmtId="0" fontId="4" fillId="0" borderId="0" xfId="0" applyFont="1"/>
    <xf numFmtId="0" fontId="1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/>
    <xf numFmtId="10" fontId="2" fillId="0" borderId="0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2" fillId="2" borderId="0" xfId="2" applyNumberFormat="1" applyFont="1" applyFill="1" applyAlignment="1">
      <alignment horizontal="right"/>
    </xf>
    <xf numFmtId="165" fontId="2" fillId="2" borderId="0" xfId="0" applyNumberFormat="1" applyFont="1" applyFill="1" applyAlignment="1"/>
    <xf numFmtId="164" fontId="8" fillId="0" borderId="0" xfId="2" applyNumberFormat="1" applyFont="1"/>
    <xf numFmtId="9" fontId="0" fillId="4" borderId="8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8" fillId="0" borderId="0" xfId="2" applyNumberFormat="1" applyFont="1" applyFill="1"/>
    <xf numFmtId="3" fontId="7" fillId="0" borderId="0" xfId="3" applyNumberFormat="1"/>
    <xf numFmtId="49" fontId="1" fillId="0" borderId="0" xfId="0" applyNumberFormat="1" applyFont="1"/>
    <xf numFmtId="49" fontId="1" fillId="0" borderId="0" xfId="0" applyNumberFormat="1" applyFont="1" applyFill="1"/>
    <xf numFmtId="0" fontId="7" fillId="0" borderId="0" xfId="3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2" fontId="0" fillId="0" borderId="0" xfId="0" applyNumberFormat="1" applyFill="1" applyAlignment="1">
      <alignment vertical="top" wrapText="1"/>
    </xf>
    <xf numFmtId="49" fontId="0" fillId="0" borderId="0" xfId="0" applyNumberFormat="1" applyAlignment="1">
      <alignment vertical="top" wrapText="1"/>
    </xf>
    <xf numFmtId="14" fontId="7" fillId="0" borderId="0" xfId="3" applyNumberFormat="1" applyFill="1" applyAlignment="1">
      <alignment vertical="top" wrapText="1"/>
    </xf>
    <xf numFmtId="0" fontId="7" fillId="0" borderId="0" xfId="3" applyAlignment="1">
      <alignment vertical="top" wrapText="1"/>
    </xf>
    <xf numFmtId="0" fontId="12" fillId="0" borderId="0" xfId="7" applyNumberFormat="1"/>
    <xf numFmtId="14" fontId="12" fillId="0" borderId="0" xfId="7" applyNumberFormat="1"/>
    <xf numFmtId="0" fontId="12" fillId="0" borderId="0" xfId="7" applyNumberFormat="1" applyAlignment="1">
      <alignment wrapText="1"/>
    </xf>
    <xf numFmtId="0" fontId="12" fillId="0" borderId="0" xfId="7" applyNumberFormat="1"/>
    <xf numFmtId="0" fontId="12" fillId="0" borderId="0" xfId="7" applyNumberFormat="1"/>
    <xf numFmtId="14" fontId="12" fillId="0" borderId="0" xfId="7" applyNumberFormat="1"/>
    <xf numFmtId="0" fontId="12" fillId="0" borderId="0" xfId="7" applyNumberFormat="1" applyAlignment="1">
      <alignment vertical="top"/>
    </xf>
    <xf numFmtId="0" fontId="10" fillId="5" borderId="0" xfId="4"/>
    <xf numFmtId="0" fontId="10" fillId="5" borderId="0" xfId="4" applyNumberFormat="1"/>
    <xf numFmtId="0" fontId="10" fillId="5" borderId="0" xfId="4" applyNumberFormat="1" applyAlignment="1">
      <alignment wrapText="1"/>
    </xf>
    <xf numFmtId="0" fontId="11" fillId="6" borderId="0" xfId="5"/>
    <xf numFmtId="0" fontId="12" fillId="0" borderId="0" xfId="7" applyNumberFormat="1" applyAlignment="1">
      <alignment horizontal="right"/>
    </xf>
    <xf numFmtId="0" fontId="7" fillId="0" borderId="0" xfId="3" applyAlignment="1">
      <alignment horizontal="left"/>
    </xf>
    <xf numFmtId="0" fontId="13" fillId="0" borderId="0" xfId="3" applyFont="1" applyAlignment="1">
      <alignment horizontal="left" vertical="top"/>
    </xf>
    <xf numFmtId="0" fontId="7" fillId="0" borderId="0" xfId="3" applyAlignment="1">
      <alignment horizontal="left" vertical="top"/>
    </xf>
    <xf numFmtId="0" fontId="10" fillId="5" borderId="0" xfId="4" applyNumberFormat="1" applyAlignment="1">
      <alignment horizontal="left" vertical="top"/>
    </xf>
    <xf numFmtId="1" fontId="7" fillId="0" borderId="0" xfId="3" applyNumberFormat="1"/>
    <xf numFmtId="3" fontId="12" fillId="0" borderId="0" xfId="7" applyNumberFormat="1" applyAlignment="1">
      <alignment horizontal="left" vertical="top"/>
    </xf>
    <xf numFmtId="3" fontId="12" fillId="0" borderId="0" xfId="7" applyNumberFormat="1" applyAlignment="1">
      <alignment horizontal="left"/>
    </xf>
    <xf numFmtId="3" fontId="14" fillId="0" borderId="0" xfId="7" applyNumberFormat="1" applyFont="1" applyAlignment="1">
      <alignment horizontal="left" vertical="top"/>
    </xf>
    <xf numFmtId="3" fontId="14" fillId="0" borderId="0" xfId="7" applyNumberFormat="1" applyFont="1" applyAlignment="1">
      <alignment horizontal="left"/>
    </xf>
    <xf numFmtId="3" fontId="13" fillId="0" borderId="0" xfId="3" applyNumberFormat="1" applyFont="1"/>
    <xf numFmtId="3" fontId="7" fillId="0" borderId="0" xfId="3" applyNumberFormat="1" applyAlignment="1">
      <alignment horizontal="left"/>
    </xf>
    <xf numFmtId="3" fontId="15" fillId="0" borderId="0" xfId="7" applyNumberFormat="1" applyFont="1" applyAlignment="1">
      <alignment horizontal="left" vertical="top" wrapText="1"/>
    </xf>
    <xf numFmtId="3" fontId="12" fillId="0" borderId="0" xfId="7" applyNumberFormat="1" applyAlignment="1">
      <alignment horizontal="left" vertical="top" wrapText="1"/>
    </xf>
    <xf numFmtId="3" fontId="12" fillId="0" borderId="0" xfId="7" applyNumberFormat="1" applyAlignment="1">
      <alignment horizontal="left" wrapText="1"/>
    </xf>
    <xf numFmtId="3" fontId="7" fillId="0" borderId="0" xfId="3" applyNumberFormat="1" applyAlignment="1">
      <alignment horizontal="left" vertical="top" wrapText="1"/>
    </xf>
    <xf numFmtId="0" fontId="8" fillId="0" borderId="0" xfId="0" applyFont="1" applyAlignment="1">
      <alignment horizontal="left"/>
    </xf>
    <xf numFmtId="165" fontId="2" fillId="0" borderId="0" xfId="0" applyNumberFormat="1" applyFont="1"/>
    <xf numFmtId="3" fontId="2" fillId="0" borderId="0" xfId="0" applyNumberFormat="1" applyFont="1" applyAlignment="1"/>
    <xf numFmtId="3" fontId="2" fillId="2" borderId="0" xfId="0" applyNumberFormat="1" applyFont="1" applyFill="1"/>
    <xf numFmtId="0" fontId="1" fillId="0" borderId="0" xfId="0" applyFont="1" applyFill="1" applyAlignment="1">
      <alignment horizontal="right"/>
    </xf>
  </cellXfs>
  <cellStyles count="8">
    <cellStyle name="Bad" xfId="5" builtinId="27"/>
    <cellStyle name="Comma" xfId="1" builtinId="3"/>
    <cellStyle name="Comma 2" xfId="6"/>
    <cellStyle name="Good" xfId="4" builtinId="26"/>
    <cellStyle name="Normal" xfId="0" builtinId="0"/>
    <cellStyle name="Normal 2" xfId="3"/>
    <cellStyle name="Normal 3" xfId="7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800101</xdr:colOff>
      <xdr:row>22</xdr:row>
      <xdr:rowOff>85725</xdr:rowOff>
    </xdr:from>
    <xdr:to>
      <xdr:col>7</xdr:col>
      <xdr:colOff>152400</xdr:colOff>
      <xdr:row>25</xdr:row>
      <xdr:rowOff>142875</xdr:rowOff>
    </xdr:to>
    <xdr:cxnSp macro="">
      <xdr:nvCxnSpPr>
        <xdr:cNvPr id="2" name="Straight Arrow Connector 1"/>
        <xdr:cNvCxnSpPr/>
      </xdr:nvCxnSpPr>
      <xdr:spPr>
        <a:xfrm>
          <a:off x="7749541" y="3499485"/>
          <a:ext cx="251459" cy="5600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4" zoomScale="90" zoomScaleNormal="90" workbookViewId="0">
      <selection activeCell="C30" sqref="C30"/>
    </sheetView>
  </sheetViews>
  <sheetFormatPr defaultRowHeight="13.2" x14ac:dyDescent="0.25"/>
  <cols>
    <col min="1" max="1" width="38.109375" customWidth="1"/>
    <col min="2" max="2" width="14.5546875" customWidth="1"/>
    <col min="3" max="3" width="13.44140625" customWidth="1"/>
    <col min="4" max="4" width="26.33203125" customWidth="1"/>
    <col min="5" max="5" width="15.5546875" bestFit="1" customWidth="1"/>
    <col min="6" max="6" width="11.88671875" bestFit="1" customWidth="1"/>
    <col min="7" max="7" width="13.109375" customWidth="1"/>
    <col min="8" max="8" width="56" bestFit="1" customWidth="1"/>
    <col min="9" max="12" width="11.88671875" bestFit="1" customWidth="1"/>
  </cols>
  <sheetData>
    <row r="1" spans="1:12" ht="15.6" x14ac:dyDescent="0.3">
      <c r="A1" s="62" t="s">
        <v>8</v>
      </c>
      <c r="D1" s="1">
        <v>43582</v>
      </c>
      <c r="E1" s="14" t="s">
        <v>1</v>
      </c>
    </row>
    <row r="3" spans="1:12" ht="12" customHeight="1" x14ac:dyDescent="0.25"/>
    <row r="4" spans="1:12" ht="23.25" customHeight="1" x14ac:dyDescent="0.25">
      <c r="A4" s="30" t="s">
        <v>2</v>
      </c>
      <c r="B4">
        <v>2000</v>
      </c>
      <c r="C4" s="14" t="s">
        <v>144</v>
      </c>
      <c r="D4" s="73" t="s">
        <v>32</v>
      </c>
      <c r="E4" s="75" t="s">
        <v>33</v>
      </c>
    </row>
    <row r="5" spans="1:12" x14ac:dyDescent="0.25">
      <c r="A5" s="30" t="s">
        <v>31</v>
      </c>
      <c r="B5" s="41">
        <v>17</v>
      </c>
      <c r="C5" s="14" t="s">
        <v>138</v>
      </c>
      <c r="D5" s="74" t="s">
        <v>40</v>
      </c>
      <c r="E5" s="15">
        <v>0.02</v>
      </c>
    </row>
    <row r="6" spans="1:12" x14ac:dyDescent="0.25">
      <c r="A6" s="30" t="s">
        <v>4</v>
      </c>
      <c r="B6" s="41">
        <v>17</v>
      </c>
      <c r="C6" s="14" t="s">
        <v>138</v>
      </c>
      <c r="D6" s="74" t="s">
        <v>35</v>
      </c>
      <c r="E6" s="15">
        <v>0.08</v>
      </c>
    </row>
    <row r="7" spans="1:12" x14ac:dyDescent="0.25">
      <c r="A7" s="30" t="s">
        <v>135</v>
      </c>
      <c r="B7" s="41">
        <v>3.5</v>
      </c>
      <c r="C7" s="14" t="s">
        <v>138</v>
      </c>
      <c r="D7" s="74" t="s">
        <v>5</v>
      </c>
      <c r="E7" s="15">
        <f>E6+B15</f>
        <v>0.1</v>
      </c>
    </row>
    <row r="8" spans="1:12" x14ac:dyDescent="0.25">
      <c r="A8" s="125" t="s">
        <v>134</v>
      </c>
      <c r="B8" s="41">
        <v>1.5</v>
      </c>
      <c r="C8" s="14" t="s">
        <v>138</v>
      </c>
      <c r="D8" s="74" t="s">
        <v>36</v>
      </c>
      <c r="E8" s="82">
        <v>0.08</v>
      </c>
    </row>
    <row r="10" spans="1:12" x14ac:dyDescent="0.25">
      <c r="A10" s="7"/>
      <c r="B10" s="22">
        <v>1</v>
      </c>
      <c r="C10" s="22">
        <f>B10+1</f>
        <v>2</v>
      </c>
      <c r="D10" s="22">
        <f t="shared" ref="D10:G11" si="0">C10+1</f>
        <v>3</v>
      </c>
      <c r="E10" s="22">
        <f t="shared" si="0"/>
        <v>4</v>
      </c>
      <c r="F10" s="22">
        <f t="shared" si="0"/>
        <v>5</v>
      </c>
      <c r="G10" s="34">
        <f t="shared" si="0"/>
        <v>6</v>
      </c>
      <c r="H10" s="25"/>
      <c r="I10" s="25"/>
      <c r="J10" s="25"/>
      <c r="K10" s="25"/>
      <c r="L10" s="25"/>
    </row>
    <row r="11" spans="1:12" x14ac:dyDescent="0.25">
      <c r="A11" s="9"/>
      <c r="B11" s="23">
        <v>2019</v>
      </c>
      <c r="C11" s="23">
        <f>B11+1</f>
        <v>2020</v>
      </c>
      <c r="D11" s="23">
        <f t="shared" si="0"/>
        <v>2021</v>
      </c>
      <c r="E11" s="23">
        <f t="shared" si="0"/>
        <v>2022</v>
      </c>
      <c r="F11" s="23">
        <f t="shared" si="0"/>
        <v>2023</v>
      </c>
      <c r="G11" s="35">
        <f t="shared" si="0"/>
        <v>2024</v>
      </c>
      <c r="H11" s="25"/>
      <c r="I11" s="25"/>
      <c r="J11" s="25"/>
      <c r="K11" s="25"/>
      <c r="L11" s="25"/>
    </row>
    <row r="12" spans="1:12" x14ac:dyDescent="0.25">
      <c r="A12" s="17" t="s">
        <v>3</v>
      </c>
      <c r="B12" s="27">
        <f>B4*B5*12</f>
        <v>408000</v>
      </c>
      <c r="C12" s="27">
        <f>B4*B5*12</f>
        <v>408000</v>
      </c>
      <c r="D12" s="27">
        <f>B4*B5*12</f>
        <v>408000</v>
      </c>
      <c r="E12" s="27">
        <f>B4*B5*12</f>
        <v>408000</v>
      </c>
      <c r="F12" s="27">
        <f>B4*B5*12</f>
        <v>408000</v>
      </c>
      <c r="G12" s="36"/>
      <c r="H12" s="46"/>
      <c r="I12" s="25"/>
      <c r="J12" s="25"/>
      <c r="K12" s="25"/>
      <c r="L12" s="25"/>
    </row>
    <row r="13" spans="1:12" x14ac:dyDescent="0.25">
      <c r="A13" s="26" t="s">
        <v>4</v>
      </c>
      <c r="B13" s="28"/>
      <c r="C13" s="28"/>
      <c r="D13" s="28"/>
      <c r="E13" s="28"/>
      <c r="F13" s="28"/>
      <c r="G13" s="35"/>
      <c r="H13" s="46"/>
      <c r="I13" s="25"/>
      <c r="J13" s="25"/>
      <c r="K13" s="25"/>
      <c r="L13" s="25"/>
    </row>
    <row r="14" spans="1:12" x14ac:dyDescent="0.25">
      <c r="A14" s="17" t="s">
        <v>6</v>
      </c>
      <c r="B14" s="29">
        <f>B12+B13</f>
        <v>408000</v>
      </c>
      <c r="C14" s="29">
        <f t="shared" ref="C14:F14" si="1">C12+C13</f>
        <v>408000</v>
      </c>
      <c r="D14" s="29">
        <f t="shared" si="1"/>
        <v>408000</v>
      </c>
      <c r="E14" s="29">
        <f t="shared" si="1"/>
        <v>408000</v>
      </c>
      <c r="F14" s="29">
        <f t="shared" si="1"/>
        <v>408000</v>
      </c>
      <c r="G14" s="36"/>
      <c r="H14" s="46"/>
      <c r="I14" s="25"/>
      <c r="J14" s="25"/>
      <c r="K14" s="25"/>
      <c r="L14" s="25"/>
    </row>
    <row r="15" spans="1:12" x14ac:dyDescent="0.25">
      <c r="A15" s="8" t="s">
        <v>7</v>
      </c>
      <c r="B15" s="19">
        <f t="shared" ref="B15:G15" si="2">$E$5</f>
        <v>0.02</v>
      </c>
      <c r="C15" s="19">
        <f t="shared" si="2"/>
        <v>0.02</v>
      </c>
      <c r="D15" s="19">
        <f t="shared" si="2"/>
        <v>0.02</v>
      </c>
      <c r="E15" s="19">
        <f t="shared" si="2"/>
        <v>0.02</v>
      </c>
      <c r="F15" s="19">
        <f t="shared" si="2"/>
        <v>0.02</v>
      </c>
      <c r="G15" s="38">
        <f t="shared" si="2"/>
        <v>0.02</v>
      </c>
      <c r="H15" s="47"/>
      <c r="I15" s="10"/>
      <c r="J15" s="10"/>
      <c r="K15" s="10"/>
      <c r="L15" s="10"/>
    </row>
    <row r="16" spans="1:12" ht="26.4" x14ac:dyDescent="0.25">
      <c r="A16" s="72" t="s">
        <v>24</v>
      </c>
      <c r="B16" s="21">
        <f>B14</f>
        <v>408000</v>
      </c>
      <c r="C16" s="21">
        <f>C14*(1+B15)</f>
        <v>416160</v>
      </c>
      <c r="D16" s="21">
        <f>C16*(1+D15)</f>
        <v>424483.2</v>
      </c>
      <c r="E16" s="21">
        <f>D16*(1+E15)</f>
        <v>432972.864</v>
      </c>
      <c r="F16" s="21">
        <f>E16*(1+F15)</f>
        <v>441632.32128000003</v>
      </c>
      <c r="G16" s="37">
        <f>F16*(1+F15)</f>
        <v>450464.96770560002</v>
      </c>
      <c r="H16" s="48" t="s">
        <v>9</v>
      </c>
      <c r="I16" s="11"/>
      <c r="J16" s="11"/>
      <c r="K16" s="11"/>
      <c r="L16" s="11"/>
    </row>
    <row r="17" spans="1:12" x14ac:dyDescent="0.25">
      <c r="A17" s="71" t="s">
        <v>25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38">
        <v>0</v>
      </c>
      <c r="H17" s="48"/>
      <c r="I17" s="11"/>
      <c r="J17" s="11"/>
      <c r="K17" s="11"/>
      <c r="L17" s="11"/>
    </row>
    <row r="18" spans="1:12" x14ac:dyDescent="0.25">
      <c r="A18" s="17" t="s">
        <v>23</v>
      </c>
      <c r="B18" s="18">
        <f t="shared" ref="B18:G18" si="3">B16*(1-B17)</f>
        <v>408000</v>
      </c>
      <c r="C18" s="18">
        <f t="shared" si="3"/>
        <v>416160</v>
      </c>
      <c r="D18" s="18">
        <f t="shared" si="3"/>
        <v>424483.2</v>
      </c>
      <c r="E18" s="18">
        <f t="shared" si="3"/>
        <v>432972.864</v>
      </c>
      <c r="F18" s="18">
        <f t="shared" si="3"/>
        <v>441632.32128000003</v>
      </c>
      <c r="G18" s="37">
        <f t="shared" si="3"/>
        <v>450464.96770560002</v>
      </c>
      <c r="H18" s="48"/>
      <c r="I18" s="10"/>
      <c r="J18" s="10"/>
      <c r="K18" s="10"/>
      <c r="L18" s="10"/>
    </row>
    <row r="19" spans="1:12" x14ac:dyDescent="0.25">
      <c r="A19" s="17" t="s">
        <v>135</v>
      </c>
      <c r="B19" s="18">
        <f>B7*B4*12</f>
        <v>84000</v>
      </c>
      <c r="C19" s="18">
        <f>B19*(1+B15)</f>
        <v>85680</v>
      </c>
      <c r="D19" s="18">
        <f t="shared" ref="D19:E19" si="4">C19*(1+C15)</f>
        <v>87393.600000000006</v>
      </c>
      <c r="E19" s="18">
        <f t="shared" si="4"/>
        <v>89141.472000000009</v>
      </c>
      <c r="F19" s="18">
        <f>E19*(1+E15)</f>
        <v>90924.30144000001</v>
      </c>
      <c r="G19" s="37">
        <f>F19*(1+F15)</f>
        <v>92742.787468800016</v>
      </c>
      <c r="H19" s="49" t="s">
        <v>147</v>
      </c>
      <c r="I19" s="10"/>
      <c r="J19" s="10"/>
      <c r="K19" s="10"/>
      <c r="L19" s="10"/>
    </row>
    <row r="20" spans="1:12" x14ac:dyDescent="0.25">
      <c r="A20" s="17" t="s">
        <v>134</v>
      </c>
      <c r="B20" s="18">
        <f>B8*B4*12</f>
        <v>36000</v>
      </c>
      <c r="C20" s="18">
        <f>B20*(1+B15)</f>
        <v>36720</v>
      </c>
      <c r="D20" s="18">
        <f t="shared" ref="D20:G20" si="5">C20*(1+C15)</f>
        <v>37454.400000000001</v>
      </c>
      <c r="E20" s="18">
        <f t="shared" si="5"/>
        <v>38203.488000000005</v>
      </c>
      <c r="F20" s="18">
        <f t="shared" si="5"/>
        <v>38967.557760000003</v>
      </c>
      <c r="G20" s="18">
        <f t="shared" si="5"/>
        <v>39746.908915200002</v>
      </c>
      <c r="H20" s="49"/>
      <c r="I20" s="10"/>
      <c r="J20" s="10"/>
      <c r="K20" s="10"/>
      <c r="L20" s="10"/>
    </row>
    <row r="21" spans="1:12" x14ac:dyDescent="0.25">
      <c r="A21" s="26" t="s">
        <v>26</v>
      </c>
      <c r="B21" s="20">
        <f>B18-B19-B20</f>
        <v>288000</v>
      </c>
      <c r="C21" s="20">
        <f t="shared" ref="C21:G21" si="6">C18-C19-C20</f>
        <v>293760</v>
      </c>
      <c r="D21" s="20">
        <f t="shared" si="6"/>
        <v>299635.19999999995</v>
      </c>
      <c r="E21" s="20">
        <f t="shared" si="6"/>
        <v>305627.90399999998</v>
      </c>
      <c r="F21" s="20">
        <f t="shared" si="6"/>
        <v>311740.46208000003</v>
      </c>
      <c r="G21" s="20">
        <f t="shared" si="6"/>
        <v>317975.27132160001</v>
      </c>
      <c r="H21" s="50"/>
      <c r="I21" s="31"/>
      <c r="J21" s="31"/>
      <c r="K21" s="31"/>
      <c r="L21" s="31"/>
    </row>
    <row r="22" spans="1:12" hidden="1" x14ac:dyDescent="0.25">
      <c r="A22" s="17" t="s">
        <v>22</v>
      </c>
      <c r="B22" s="16">
        <f>B21/$B$30</f>
        <v>8.0000000000000016E-2</v>
      </c>
      <c r="C22" s="16">
        <f>C21/$B$30</f>
        <v>8.160000000000002E-2</v>
      </c>
      <c r="D22" s="16">
        <f>D21/$B$30</f>
        <v>8.3232000000000014E-2</v>
      </c>
      <c r="E22" s="16">
        <f>E21/$B$30</f>
        <v>8.4896640000000023E-2</v>
      </c>
      <c r="F22" s="16">
        <f>F21/$B$30</f>
        <v>8.6594572800000033E-2</v>
      </c>
      <c r="G22" s="39"/>
      <c r="H22" s="51" t="s">
        <v>34</v>
      </c>
      <c r="I22" s="16"/>
      <c r="J22" s="16"/>
      <c r="K22" s="16"/>
      <c r="L22" s="31"/>
    </row>
    <row r="23" spans="1:12" x14ac:dyDescent="0.25">
      <c r="A23" s="70" t="s">
        <v>28</v>
      </c>
      <c r="B23" s="44">
        <f>1/(1+$E$7)^B10</f>
        <v>0.90909090909090906</v>
      </c>
      <c r="C23" s="44">
        <f>1/(1+$E$7)^C10</f>
        <v>0.82644628099173545</v>
      </c>
      <c r="D23" s="44">
        <f>1/(1+$E$7)^D10</f>
        <v>0.75131480090157754</v>
      </c>
      <c r="E23" s="44">
        <f>1/(1+$E$7)^E10</f>
        <v>0.68301345536507052</v>
      </c>
      <c r="F23" s="44">
        <f>1/(1+$E$7)^F10</f>
        <v>0.62092132305915493</v>
      </c>
      <c r="G23" s="54">
        <f>1/(1+$E$7)^F10</f>
        <v>0.62092132305915493</v>
      </c>
      <c r="H23" s="52" t="s">
        <v>12</v>
      </c>
      <c r="I23" s="32"/>
      <c r="J23" s="32"/>
      <c r="K23" s="32"/>
      <c r="L23" s="32"/>
    </row>
    <row r="24" spans="1:12" x14ac:dyDescent="0.25">
      <c r="A24" s="69" t="s">
        <v>27</v>
      </c>
      <c r="B24" s="45">
        <f>B21*B23</f>
        <v>261818.18181818182</v>
      </c>
      <c r="C24" s="45">
        <f>C21*C23</f>
        <v>242776.85950413221</v>
      </c>
      <c r="D24" s="45">
        <f>D21*D23</f>
        <v>225120.36063110433</v>
      </c>
      <c r="E24" s="45">
        <f>E21*E23</f>
        <v>208747.97076702403</v>
      </c>
      <c r="F24" s="45">
        <f>F21*F23</f>
        <v>193566.30016578594</v>
      </c>
      <c r="G24" s="40"/>
      <c r="H24" s="53" t="s">
        <v>13</v>
      </c>
      <c r="I24" s="33"/>
      <c r="J24" s="33"/>
      <c r="K24" s="33"/>
      <c r="L24" s="2"/>
    </row>
    <row r="25" spans="1:12" x14ac:dyDescent="0.25">
      <c r="H25" s="2"/>
      <c r="I25" s="2"/>
      <c r="J25" s="2"/>
      <c r="K25" s="2"/>
      <c r="L25" s="2"/>
    </row>
    <row r="26" spans="1:12" ht="26.4" x14ac:dyDescent="0.25">
      <c r="A26" s="65" t="s">
        <v>29</v>
      </c>
      <c r="B26" s="6">
        <f>SUM(B24:F24)</f>
        <v>1132029.6728862284</v>
      </c>
      <c r="D26">
        <f>B26/B30</f>
        <v>0.31445268691284128</v>
      </c>
      <c r="H26" t="s">
        <v>30</v>
      </c>
    </row>
    <row r="27" spans="1:12" x14ac:dyDescent="0.25">
      <c r="A27" s="65" t="s">
        <v>21</v>
      </c>
      <c r="B27" s="6">
        <f>G21/E6</f>
        <v>3974690.8915200001</v>
      </c>
      <c r="C27" s="14" t="s">
        <v>14</v>
      </c>
      <c r="H27" s="14" t="s">
        <v>10</v>
      </c>
      <c r="I27" s="6"/>
      <c r="J27" s="6"/>
    </row>
    <row r="28" spans="1:12" ht="52.8" x14ac:dyDescent="0.25">
      <c r="A28" s="14" t="s">
        <v>20</v>
      </c>
      <c r="B28" s="5">
        <f>B27*G23</f>
        <v>2467970.3271137704</v>
      </c>
      <c r="C28" s="65" t="s">
        <v>15</v>
      </c>
      <c r="D28">
        <f>B28/B30</f>
        <v>0.68554731308715866</v>
      </c>
    </row>
    <row r="30" spans="1:12" x14ac:dyDescent="0.25">
      <c r="A30" s="59" t="s">
        <v>19</v>
      </c>
      <c r="B30" s="60">
        <f>B26+B28</f>
        <v>3599999.9999999991</v>
      </c>
      <c r="C30" s="59" t="s">
        <v>0</v>
      </c>
      <c r="D30" s="14" t="s">
        <v>16</v>
      </c>
    </row>
    <row r="31" spans="1:12" x14ac:dyDescent="0.25">
      <c r="A31" s="59" t="s">
        <v>18</v>
      </c>
      <c r="B31" s="60">
        <f>B30/2000</f>
        <v>1799.9999999999995</v>
      </c>
      <c r="C31" s="59" t="s">
        <v>139</v>
      </c>
    </row>
    <row r="32" spans="1:12" x14ac:dyDescent="0.25">
      <c r="A32" s="59" t="s">
        <v>17</v>
      </c>
      <c r="B32" s="61">
        <f>B21/B30</f>
        <v>8.0000000000000016E-2</v>
      </c>
      <c r="C32" s="59"/>
    </row>
    <row r="34" spans="1:7" x14ac:dyDescent="0.25">
      <c r="A34" s="55"/>
      <c r="B34" s="56"/>
      <c r="C34" s="24"/>
      <c r="D34" s="55"/>
      <c r="E34" s="55"/>
      <c r="F34" s="57"/>
      <c r="G34" s="55"/>
    </row>
    <row r="35" spans="1:7" x14ac:dyDescent="0.25">
      <c r="A35" s="3"/>
      <c r="B35" s="56"/>
      <c r="C35" s="24"/>
      <c r="D35" s="55"/>
      <c r="E35" s="56"/>
      <c r="F35" s="58"/>
      <c r="G35" s="55"/>
    </row>
    <row r="36" spans="1:7" x14ac:dyDescent="0.25">
      <c r="A36" s="67"/>
      <c r="B36" s="56"/>
      <c r="C36" s="66"/>
      <c r="D36" s="55"/>
      <c r="E36" s="56"/>
      <c r="F36" s="58"/>
      <c r="G36" s="55"/>
    </row>
    <row r="37" spans="1:7" x14ac:dyDescent="0.25">
      <c r="A37" s="14"/>
      <c r="B37" s="56"/>
      <c r="C37" s="68"/>
      <c r="D37" s="55"/>
      <c r="E37" s="56"/>
      <c r="F37" s="58"/>
      <c r="G37" s="55"/>
    </row>
    <row r="38" spans="1:7" x14ac:dyDescent="0.25">
      <c r="B38" s="67"/>
      <c r="C38" s="6"/>
      <c r="D38" s="2"/>
      <c r="E38" s="2"/>
      <c r="F38" s="2"/>
      <c r="G38" s="2"/>
    </row>
    <row r="39" spans="1:7" x14ac:dyDescent="0.25">
      <c r="A39" s="14"/>
      <c r="B39" s="6"/>
      <c r="C39" s="14"/>
      <c r="D39" s="2"/>
      <c r="E39" s="2"/>
      <c r="F39" s="2"/>
      <c r="G39" s="2"/>
    </row>
    <row r="41" spans="1:7" x14ac:dyDescent="0.25">
      <c r="A41" s="14"/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9" workbookViewId="0">
      <selection activeCell="C17" sqref="C17"/>
    </sheetView>
  </sheetViews>
  <sheetFormatPr defaultRowHeight="13.2" x14ac:dyDescent="0.25"/>
  <cols>
    <col min="1" max="1" width="33.109375" customWidth="1"/>
    <col min="2" max="2" width="14.5546875" customWidth="1"/>
    <col min="3" max="3" width="13.44140625" customWidth="1"/>
    <col min="4" max="4" width="23.6640625" customWidth="1"/>
    <col min="5" max="5" width="15.5546875" bestFit="1" customWidth="1"/>
    <col min="6" max="6" width="11.88671875" bestFit="1" customWidth="1"/>
    <col min="7" max="7" width="13.109375" customWidth="1"/>
    <col min="8" max="8" width="56" bestFit="1" customWidth="1"/>
    <col min="9" max="12" width="11.88671875" bestFit="1" customWidth="1"/>
  </cols>
  <sheetData>
    <row r="1" spans="1:12" ht="15.6" x14ac:dyDescent="0.3">
      <c r="A1" s="62" t="s">
        <v>8</v>
      </c>
      <c r="D1" s="1">
        <v>43582</v>
      </c>
      <c r="E1" s="4" t="s">
        <v>1</v>
      </c>
    </row>
    <row r="4" spans="1:12" ht="25.5" customHeight="1" x14ac:dyDescent="0.25">
      <c r="A4" s="30" t="s">
        <v>2</v>
      </c>
      <c r="B4">
        <v>2000</v>
      </c>
      <c r="C4" s="14" t="s">
        <v>144</v>
      </c>
      <c r="D4" s="73" t="s">
        <v>32</v>
      </c>
      <c r="E4" s="75" t="s">
        <v>33</v>
      </c>
    </row>
    <row r="5" spans="1:12" x14ac:dyDescent="0.25">
      <c r="A5" s="30" t="s">
        <v>31</v>
      </c>
      <c r="B5" s="41">
        <v>17</v>
      </c>
      <c r="C5" s="14" t="s">
        <v>138</v>
      </c>
      <c r="D5" s="74" t="s">
        <v>40</v>
      </c>
      <c r="E5" s="15">
        <v>0.02</v>
      </c>
    </row>
    <row r="6" spans="1:12" x14ac:dyDescent="0.25">
      <c r="A6" s="30" t="s">
        <v>4</v>
      </c>
      <c r="B6" s="41">
        <v>17</v>
      </c>
      <c r="C6" s="14" t="s">
        <v>138</v>
      </c>
      <c r="D6" s="74" t="s">
        <v>35</v>
      </c>
      <c r="E6" s="15">
        <v>0.08</v>
      </c>
    </row>
    <row r="7" spans="1:12" x14ac:dyDescent="0.25">
      <c r="A7" s="30" t="s">
        <v>135</v>
      </c>
      <c r="B7" s="41">
        <v>3.5</v>
      </c>
      <c r="C7" s="14" t="s">
        <v>138</v>
      </c>
      <c r="D7" s="74" t="s">
        <v>5</v>
      </c>
      <c r="E7" s="15">
        <f>E6+B16</f>
        <v>0.1</v>
      </c>
    </row>
    <row r="8" spans="1:12" x14ac:dyDescent="0.25">
      <c r="A8" s="30" t="s">
        <v>134</v>
      </c>
      <c r="B8" s="41">
        <v>1.5</v>
      </c>
      <c r="C8" s="14" t="s">
        <v>138</v>
      </c>
      <c r="D8" s="74" t="s">
        <v>36</v>
      </c>
      <c r="E8" s="78">
        <v>0.08</v>
      </c>
    </row>
    <row r="9" spans="1:12" x14ac:dyDescent="0.25">
      <c r="A9" s="30"/>
      <c r="B9" s="41"/>
      <c r="C9" s="14"/>
      <c r="D9" s="121" t="s">
        <v>150</v>
      </c>
      <c r="E9" s="78"/>
    </row>
    <row r="11" spans="1:12" x14ac:dyDescent="0.25">
      <c r="A11" s="7"/>
      <c r="B11" s="22">
        <v>1</v>
      </c>
      <c r="C11" s="22">
        <f>B11+1</f>
        <v>2</v>
      </c>
      <c r="D11" s="22">
        <f t="shared" ref="D11:G12" si="0">C11+1</f>
        <v>3</v>
      </c>
      <c r="E11" s="22">
        <f t="shared" si="0"/>
        <v>4</v>
      </c>
      <c r="F11" s="22">
        <f t="shared" si="0"/>
        <v>5</v>
      </c>
      <c r="G11" s="34">
        <f t="shared" si="0"/>
        <v>6</v>
      </c>
      <c r="H11" s="25"/>
      <c r="I11" s="25"/>
      <c r="J11" s="25"/>
      <c r="K11" s="25"/>
      <c r="L11" s="25"/>
    </row>
    <row r="12" spans="1:12" x14ac:dyDescent="0.25">
      <c r="A12" s="9"/>
      <c r="B12" s="23">
        <v>2019</v>
      </c>
      <c r="C12" s="23">
        <f>B12+1</f>
        <v>2020</v>
      </c>
      <c r="D12" s="23">
        <f t="shared" si="0"/>
        <v>2021</v>
      </c>
      <c r="E12" s="23">
        <f t="shared" si="0"/>
        <v>2022</v>
      </c>
      <c r="F12" s="23">
        <f t="shared" si="0"/>
        <v>2023</v>
      </c>
      <c r="G12" s="35">
        <f t="shared" si="0"/>
        <v>2024</v>
      </c>
      <c r="H12" s="25"/>
      <c r="I12" s="25"/>
      <c r="J12" s="25"/>
      <c r="K12" s="25"/>
      <c r="L12" s="25"/>
    </row>
    <row r="13" spans="1:12" x14ac:dyDescent="0.25">
      <c r="A13" s="17" t="s">
        <v>3</v>
      </c>
      <c r="B13" s="27">
        <f>B4*B5*12</f>
        <v>408000</v>
      </c>
      <c r="C13" s="27">
        <f>B4*B5*12</f>
        <v>408000</v>
      </c>
      <c r="D13" s="27">
        <f>B4*B5*12</f>
        <v>408000</v>
      </c>
      <c r="E13" s="27">
        <f>B4*B5*12</f>
        <v>408000</v>
      </c>
      <c r="F13" s="27">
        <f>B4*B5*12</f>
        <v>408000</v>
      </c>
      <c r="G13" s="36"/>
      <c r="H13" s="46"/>
      <c r="I13" s="25"/>
      <c r="J13" s="25"/>
      <c r="K13" s="25"/>
      <c r="L13" s="25"/>
    </row>
    <row r="14" spans="1:12" x14ac:dyDescent="0.25">
      <c r="A14" s="26" t="s">
        <v>4</v>
      </c>
      <c r="B14" s="28"/>
      <c r="C14" s="28"/>
      <c r="D14" s="28"/>
      <c r="E14" s="28"/>
      <c r="F14" s="28"/>
      <c r="G14" s="35"/>
      <c r="H14" s="46"/>
      <c r="I14" s="25"/>
      <c r="J14" s="25"/>
      <c r="K14" s="25"/>
      <c r="L14" s="25"/>
    </row>
    <row r="15" spans="1:12" x14ac:dyDescent="0.25">
      <c r="A15" s="17" t="s">
        <v>6</v>
      </c>
      <c r="B15" s="29">
        <f>B13+B14</f>
        <v>408000</v>
      </c>
      <c r="C15" s="29">
        <f t="shared" ref="C15:F15" si="1">C13+C14</f>
        <v>408000</v>
      </c>
      <c r="D15" s="29">
        <f t="shared" si="1"/>
        <v>408000</v>
      </c>
      <c r="E15" s="29">
        <f t="shared" si="1"/>
        <v>408000</v>
      </c>
      <c r="F15" s="29">
        <f t="shared" si="1"/>
        <v>408000</v>
      </c>
      <c r="G15" s="36"/>
      <c r="H15" s="46"/>
      <c r="I15" s="25"/>
      <c r="J15" s="25"/>
      <c r="K15" s="25"/>
      <c r="L15" s="25"/>
    </row>
    <row r="16" spans="1:12" x14ac:dyDescent="0.25">
      <c r="A16" s="8" t="s">
        <v>7</v>
      </c>
      <c r="B16" s="19">
        <f t="shared" ref="B16:G16" si="2">$E$5</f>
        <v>0.02</v>
      </c>
      <c r="C16" s="19">
        <f t="shared" si="2"/>
        <v>0.02</v>
      </c>
      <c r="D16" s="19">
        <f t="shared" si="2"/>
        <v>0.02</v>
      </c>
      <c r="E16" s="19">
        <f t="shared" si="2"/>
        <v>0.02</v>
      </c>
      <c r="F16" s="19">
        <f t="shared" si="2"/>
        <v>0.02</v>
      </c>
      <c r="G16" s="38">
        <f t="shared" si="2"/>
        <v>0.02</v>
      </c>
      <c r="H16" s="47"/>
      <c r="I16" s="10"/>
      <c r="J16" s="10"/>
      <c r="K16" s="10"/>
      <c r="L16" s="10"/>
    </row>
    <row r="17" spans="1:12" ht="26.4" x14ac:dyDescent="0.25">
      <c r="A17" s="72" t="s">
        <v>24</v>
      </c>
      <c r="B17" s="21">
        <f>B15</f>
        <v>408000</v>
      </c>
      <c r="C17" s="21">
        <f>C15*(1+B16)</f>
        <v>416160</v>
      </c>
      <c r="D17" s="21">
        <f>C17*(1+D16)</f>
        <v>424483.2</v>
      </c>
      <c r="E17" s="21">
        <f>D17*(1+E16)</f>
        <v>432972.864</v>
      </c>
      <c r="F17" s="21">
        <f>E17*(1+F16)</f>
        <v>441632.32128000003</v>
      </c>
      <c r="G17" s="37">
        <f>F17*(1+F16)</f>
        <v>450464.96770560002</v>
      </c>
      <c r="H17" s="48" t="s">
        <v>9</v>
      </c>
      <c r="I17" s="11"/>
      <c r="J17" s="11"/>
      <c r="K17" s="11"/>
      <c r="L17" s="11"/>
    </row>
    <row r="18" spans="1:12" x14ac:dyDescent="0.25">
      <c r="A18" s="71" t="s">
        <v>25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79">
        <v>0.1</v>
      </c>
      <c r="H18" s="48"/>
      <c r="I18" s="11"/>
      <c r="J18" s="11"/>
      <c r="K18" s="11"/>
      <c r="L18" s="11"/>
    </row>
    <row r="19" spans="1:12" x14ac:dyDescent="0.25">
      <c r="A19" s="17" t="s">
        <v>23</v>
      </c>
      <c r="B19" s="18">
        <f t="shared" ref="B19:G19" si="3">B17*(1-B18)</f>
        <v>408000</v>
      </c>
      <c r="C19" s="18">
        <f t="shared" si="3"/>
        <v>416160</v>
      </c>
      <c r="D19" s="18">
        <f t="shared" si="3"/>
        <v>424483.2</v>
      </c>
      <c r="E19" s="18">
        <f t="shared" si="3"/>
        <v>432972.864</v>
      </c>
      <c r="F19" s="18">
        <f t="shared" si="3"/>
        <v>441632.32128000003</v>
      </c>
      <c r="G19" s="37">
        <f t="shared" si="3"/>
        <v>405418.47093504004</v>
      </c>
      <c r="H19" s="48"/>
      <c r="I19" s="10"/>
      <c r="J19" s="10"/>
      <c r="K19" s="10"/>
      <c r="L19" s="10"/>
    </row>
    <row r="20" spans="1:12" x14ac:dyDescent="0.25">
      <c r="A20" s="17" t="s">
        <v>135</v>
      </c>
      <c r="B20" s="18">
        <f>B7*B4*12</f>
        <v>84000</v>
      </c>
      <c r="C20" s="18">
        <f>B20*(1+B16)</f>
        <v>85680</v>
      </c>
      <c r="D20" s="18">
        <f>C20*(1+C16)</f>
        <v>87393.600000000006</v>
      </c>
      <c r="E20" s="18">
        <f t="shared" ref="E20" si="4">D20*(1+D16)</f>
        <v>89141.472000000009</v>
      </c>
      <c r="F20" s="18">
        <f>E20*(1+E16)</f>
        <v>90924.30144000001</v>
      </c>
      <c r="G20" s="37">
        <f>F20*(1+F16)</f>
        <v>92742.787468800016</v>
      </c>
      <c r="H20" s="49" t="s">
        <v>147</v>
      </c>
      <c r="I20" s="10"/>
      <c r="J20" s="10"/>
      <c r="K20" s="10"/>
      <c r="L20" s="10"/>
    </row>
    <row r="21" spans="1:12" x14ac:dyDescent="0.25">
      <c r="A21" s="17" t="s">
        <v>134</v>
      </c>
      <c r="B21" s="18">
        <f>B8*B4*12</f>
        <v>36000</v>
      </c>
      <c r="C21" s="18">
        <f>B21*(1+B16)</f>
        <v>36720</v>
      </c>
      <c r="D21" s="18">
        <f>C21*(1+C16)</f>
        <v>37454.400000000001</v>
      </c>
      <c r="E21" s="18">
        <f>D21*(1+D16)</f>
        <v>38203.488000000005</v>
      </c>
      <c r="F21" s="18">
        <f t="shared" ref="F21:G21" si="5">E21*(1+E16)</f>
        <v>38967.557760000003</v>
      </c>
      <c r="G21" s="18">
        <f t="shared" si="5"/>
        <v>39746.908915200002</v>
      </c>
      <c r="H21" s="49"/>
      <c r="I21" s="10"/>
      <c r="J21" s="10"/>
      <c r="K21" s="10"/>
      <c r="L21" s="10"/>
    </row>
    <row r="22" spans="1:12" x14ac:dyDescent="0.25">
      <c r="A22" s="26" t="s">
        <v>26</v>
      </c>
      <c r="B22" s="20">
        <f>B19-B20-B21</f>
        <v>288000</v>
      </c>
      <c r="C22" s="20">
        <f>C19-C20-C21</f>
        <v>293760</v>
      </c>
      <c r="D22" s="20">
        <f>D19-D20-D21</f>
        <v>299635.19999999995</v>
      </c>
      <c r="E22" s="20">
        <f t="shared" ref="E22:G22" si="6">E19-E20-E21</f>
        <v>305627.90399999998</v>
      </c>
      <c r="F22" s="20">
        <f t="shared" si="6"/>
        <v>311740.46208000003</v>
      </c>
      <c r="G22" s="20">
        <f t="shared" si="6"/>
        <v>272928.77455104003</v>
      </c>
      <c r="H22" s="50"/>
      <c r="I22" s="31"/>
      <c r="J22" s="31"/>
      <c r="K22" s="31"/>
      <c r="L22" s="31"/>
    </row>
    <row r="23" spans="1:12" hidden="1" x14ac:dyDescent="0.25">
      <c r="A23" s="17" t="s">
        <v>22</v>
      </c>
      <c r="B23" s="16">
        <f>B22/$B$31</f>
        <v>8.860527351795848E-2</v>
      </c>
      <c r="C23" s="16">
        <f>C22/$B$31</f>
        <v>9.0377378988317658E-2</v>
      </c>
      <c r="D23" s="16">
        <f>D22/$B$31</f>
        <v>9.2184926568083997E-2</v>
      </c>
      <c r="E23" s="16">
        <f>E22/$B$31</f>
        <v>9.4028625099445678E-2</v>
      </c>
      <c r="F23" s="16">
        <f>F22/$B$31</f>
        <v>9.5909197601434612E-2</v>
      </c>
      <c r="G23" s="39"/>
      <c r="H23" s="51" t="s">
        <v>34</v>
      </c>
      <c r="I23" s="16"/>
      <c r="J23" s="16"/>
      <c r="K23" s="16"/>
      <c r="L23" s="31"/>
    </row>
    <row r="24" spans="1:12" x14ac:dyDescent="0.25">
      <c r="A24" s="70" t="s">
        <v>28</v>
      </c>
      <c r="B24" s="44">
        <f>1/(1+$E$7)^B11</f>
        <v>0.90909090909090906</v>
      </c>
      <c r="C24" s="44">
        <f>1/(1+$E$7)^C11</f>
        <v>0.82644628099173545</v>
      </c>
      <c r="D24" s="44">
        <f>1/(1+$E$7)^D11</f>
        <v>0.75131480090157754</v>
      </c>
      <c r="E24" s="44">
        <f>1/(1+$E$7)^E11</f>
        <v>0.68301345536507052</v>
      </c>
      <c r="F24" s="44">
        <f>1/(1+$E$7)^F11</f>
        <v>0.62092132305915493</v>
      </c>
      <c r="G24" s="54">
        <f>1/(1+$E$7)^F11</f>
        <v>0.62092132305915493</v>
      </c>
      <c r="H24" s="52" t="s">
        <v>12</v>
      </c>
      <c r="I24" s="32"/>
      <c r="J24" s="32"/>
      <c r="K24" s="32"/>
      <c r="L24" s="32"/>
    </row>
    <row r="25" spans="1:12" x14ac:dyDescent="0.25">
      <c r="A25" s="69" t="s">
        <v>27</v>
      </c>
      <c r="B25" s="45">
        <f>B22*B24</f>
        <v>261818.18181818182</v>
      </c>
      <c r="C25" s="45">
        <f>C22*C24</f>
        <v>242776.85950413221</v>
      </c>
      <c r="D25" s="45">
        <f>D22*D24</f>
        <v>225120.36063110433</v>
      </c>
      <c r="E25" s="45">
        <f>E22*E24</f>
        <v>208747.97076702403</v>
      </c>
      <c r="F25" s="45">
        <f>F22*F24</f>
        <v>193566.30016578594</v>
      </c>
      <c r="G25" s="40"/>
      <c r="H25" s="53" t="s">
        <v>13</v>
      </c>
      <c r="I25" s="33"/>
      <c r="J25" s="33"/>
      <c r="K25" s="33"/>
      <c r="L25" s="2"/>
    </row>
    <row r="26" spans="1:12" x14ac:dyDescent="0.25">
      <c r="H26" s="2"/>
      <c r="I26" s="2"/>
      <c r="J26" s="2"/>
      <c r="K26" s="2"/>
      <c r="L26" s="2"/>
    </row>
    <row r="27" spans="1:12" ht="26.4" x14ac:dyDescent="0.25">
      <c r="A27" s="65" t="s">
        <v>29</v>
      </c>
      <c r="B27" s="6">
        <f>SUM(B25:F25)</f>
        <v>1132029.6728862284</v>
      </c>
    </row>
    <row r="28" spans="1:12" ht="26.4" x14ac:dyDescent="0.25">
      <c r="A28" s="65" t="s">
        <v>21</v>
      </c>
      <c r="B28" s="6">
        <f>G22/E6</f>
        <v>3411609.6818880001</v>
      </c>
      <c r="C28" s="14" t="s">
        <v>14</v>
      </c>
      <c r="H28" s="64" t="s">
        <v>11</v>
      </c>
      <c r="I28" s="6"/>
      <c r="J28" s="6"/>
    </row>
    <row r="29" spans="1:12" ht="52.8" x14ac:dyDescent="0.25">
      <c r="A29" s="14" t="s">
        <v>20</v>
      </c>
      <c r="B29" s="5">
        <f>B28*G24</f>
        <v>2118341.1974393199</v>
      </c>
      <c r="C29" s="65" t="s">
        <v>15</v>
      </c>
      <c r="H29" s="14" t="s">
        <v>10</v>
      </c>
    </row>
    <row r="31" spans="1:12" x14ac:dyDescent="0.25">
      <c r="A31" s="59" t="s">
        <v>130</v>
      </c>
      <c r="B31" s="77">
        <f>B27+B29</f>
        <v>3250370.8703255486</v>
      </c>
      <c r="C31" s="59" t="s">
        <v>0</v>
      </c>
      <c r="D31" s="14" t="s">
        <v>16</v>
      </c>
    </row>
    <row r="32" spans="1:12" x14ac:dyDescent="0.25">
      <c r="A32" s="59"/>
      <c r="B32" s="77">
        <f>B31/2000</f>
        <v>1625.1854351627742</v>
      </c>
      <c r="C32" s="59" t="s">
        <v>139</v>
      </c>
    </row>
    <row r="33" spans="1:7" x14ac:dyDescent="0.25">
      <c r="A33" s="59" t="s">
        <v>17</v>
      </c>
      <c r="B33" s="76">
        <f>B22/B31</f>
        <v>8.860527351795848E-2</v>
      </c>
      <c r="C33" s="59"/>
    </row>
    <row r="34" spans="1:7" x14ac:dyDescent="0.25">
      <c r="B34" s="75"/>
    </row>
    <row r="35" spans="1:7" x14ac:dyDescent="0.25">
      <c r="A35" s="55"/>
      <c r="B35" s="56"/>
      <c r="C35" s="24"/>
      <c r="D35" s="55"/>
      <c r="E35" s="55"/>
      <c r="F35" s="57"/>
      <c r="G35" s="55"/>
    </row>
    <row r="36" spans="1:7" x14ac:dyDescent="0.25">
      <c r="A36" s="3"/>
      <c r="B36" s="56"/>
      <c r="C36" s="24"/>
      <c r="D36" s="55"/>
      <c r="E36" s="56"/>
      <c r="F36" s="58"/>
      <c r="G36" s="55"/>
    </row>
    <row r="37" spans="1:7" x14ac:dyDescent="0.25">
      <c r="A37" s="67"/>
      <c r="B37" s="56"/>
      <c r="C37" s="66"/>
      <c r="D37" s="55"/>
      <c r="E37" s="56"/>
      <c r="F37" s="58"/>
      <c r="G37" s="55"/>
    </row>
    <row r="38" spans="1:7" x14ac:dyDescent="0.25">
      <c r="A38" s="14"/>
      <c r="B38" s="56"/>
      <c r="C38" s="68"/>
      <c r="D38" s="55"/>
      <c r="E38" s="56"/>
      <c r="F38" s="58"/>
      <c r="G38" s="55"/>
    </row>
    <row r="39" spans="1:7" x14ac:dyDescent="0.25">
      <c r="B39" s="67"/>
      <c r="C39" s="6"/>
      <c r="D39" s="2"/>
      <c r="E39" s="2"/>
      <c r="F39" s="2"/>
      <c r="G39" s="2"/>
    </row>
    <row r="40" spans="1:7" x14ac:dyDescent="0.25">
      <c r="A40" s="14"/>
      <c r="B40" s="6"/>
      <c r="C40" s="14"/>
      <c r="D40" s="2"/>
      <c r="E40" s="2"/>
      <c r="F40" s="2"/>
      <c r="G40" s="2"/>
    </row>
    <row r="42" spans="1:7" x14ac:dyDescent="0.25">
      <c r="A42" s="14"/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90" zoomScaleNormal="90" workbookViewId="0">
      <selection activeCell="N23" sqref="N23:P27"/>
    </sheetView>
  </sheetViews>
  <sheetFormatPr defaultRowHeight="13.2" x14ac:dyDescent="0.25"/>
  <cols>
    <col min="1" max="1" width="31.5546875" customWidth="1"/>
    <col min="2" max="2" width="14.5546875" customWidth="1"/>
    <col min="3" max="3" width="13.44140625" customWidth="1"/>
    <col min="4" max="4" width="16.109375" customWidth="1"/>
    <col min="5" max="5" width="15.5546875" bestFit="1" customWidth="1"/>
    <col min="6" max="6" width="11.88671875" bestFit="1" customWidth="1"/>
    <col min="7" max="7" width="13.109375" customWidth="1"/>
    <col min="8" max="8" width="56" bestFit="1" customWidth="1"/>
    <col min="9" max="12" width="11.88671875" bestFit="1" customWidth="1"/>
  </cols>
  <sheetData>
    <row r="1" spans="1:12" ht="15.6" x14ac:dyDescent="0.3">
      <c r="A1" s="62" t="s">
        <v>8</v>
      </c>
      <c r="D1" s="1">
        <v>43582</v>
      </c>
      <c r="E1" s="4" t="s">
        <v>1</v>
      </c>
    </row>
    <row r="4" spans="1:12" ht="27.75" customHeight="1" x14ac:dyDescent="0.25">
      <c r="A4" s="30" t="s">
        <v>2</v>
      </c>
      <c r="B4">
        <v>2000</v>
      </c>
      <c r="C4" s="14" t="s">
        <v>144</v>
      </c>
      <c r="D4" s="73" t="s">
        <v>32</v>
      </c>
      <c r="E4" s="75" t="s">
        <v>33</v>
      </c>
    </row>
    <row r="5" spans="1:12" x14ac:dyDescent="0.25">
      <c r="A5" s="30" t="s">
        <v>31</v>
      </c>
      <c r="B5" s="41">
        <v>17</v>
      </c>
      <c r="C5" s="14" t="s">
        <v>138</v>
      </c>
      <c r="D5" s="74" t="s">
        <v>40</v>
      </c>
      <c r="E5" s="15">
        <v>0.02</v>
      </c>
    </row>
    <row r="6" spans="1:12" x14ac:dyDescent="0.25">
      <c r="A6" s="30" t="s">
        <v>4</v>
      </c>
      <c r="B6" s="41">
        <v>17</v>
      </c>
      <c r="C6" s="14" t="s">
        <v>138</v>
      </c>
      <c r="D6" s="74" t="s">
        <v>35</v>
      </c>
      <c r="E6" s="15">
        <v>0.08</v>
      </c>
    </row>
    <row r="7" spans="1:12" x14ac:dyDescent="0.25">
      <c r="A7" s="30" t="s">
        <v>135</v>
      </c>
      <c r="B7" s="41">
        <v>3.5</v>
      </c>
      <c r="C7" s="14" t="s">
        <v>138</v>
      </c>
      <c r="D7" s="74" t="s">
        <v>5</v>
      </c>
      <c r="E7" s="15">
        <f>E6+B15</f>
        <v>0.1</v>
      </c>
    </row>
    <row r="8" spans="1:12" x14ac:dyDescent="0.25">
      <c r="A8" s="30" t="s">
        <v>134</v>
      </c>
      <c r="B8" s="41">
        <v>1.5</v>
      </c>
      <c r="C8" s="14" t="s">
        <v>138</v>
      </c>
      <c r="D8" s="74" t="s">
        <v>36</v>
      </c>
      <c r="E8" s="78">
        <v>0.1</v>
      </c>
    </row>
    <row r="10" spans="1:12" x14ac:dyDescent="0.25">
      <c r="A10" s="7"/>
      <c r="B10" s="22">
        <v>1</v>
      </c>
      <c r="C10" s="22">
        <f>B10+1</f>
        <v>2</v>
      </c>
      <c r="D10" s="22">
        <f t="shared" ref="D10:G11" si="0">C10+1</f>
        <v>3</v>
      </c>
      <c r="E10" s="22">
        <f t="shared" si="0"/>
        <v>4</v>
      </c>
      <c r="F10" s="22">
        <f t="shared" si="0"/>
        <v>5</v>
      </c>
      <c r="G10" s="34">
        <f t="shared" si="0"/>
        <v>6</v>
      </c>
      <c r="H10" s="25"/>
      <c r="I10" s="25"/>
      <c r="J10" s="25"/>
      <c r="K10" s="25"/>
      <c r="L10" s="25"/>
    </row>
    <row r="11" spans="1:12" x14ac:dyDescent="0.25">
      <c r="A11" s="9"/>
      <c r="B11" s="23">
        <v>2019</v>
      </c>
      <c r="C11" s="23">
        <f>B11+1</f>
        <v>2020</v>
      </c>
      <c r="D11" s="23">
        <f t="shared" si="0"/>
        <v>2021</v>
      </c>
      <c r="E11" s="23">
        <f t="shared" si="0"/>
        <v>2022</v>
      </c>
      <c r="F11" s="23">
        <f t="shared" si="0"/>
        <v>2023</v>
      </c>
      <c r="G11" s="35">
        <f t="shared" si="0"/>
        <v>2024</v>
      </c>
      <c r="H11" s="25"/>
      <c r="I11" s="25"/>
      <c r="J11" s="25"/>
      <c r="K11" s="25"/>
      <c r="L11" s="25"/>
    </row>
    <row r="12" spans="1:12" x14ac:dyDescent="0.25">
      <c r="A12" s="17" t="s">
        <v>3</v>
      </c>
      <c r="B12" s="27">
        <f>B4*B5*12</f>
        <v>408000</v>
      </c>
      <c r="C12" s="27">
        <f>B4*B5*12</f>
        <v>408000</v>
      </c>
      <c r="D12" s="27">
        <f>B4*B5*12</f>
        <v>408000</v>
      </c>
      <c r="E12" s="27">
        <f>B4*B5*12</f>
        <v>408000</v>
      </c>
      <c r="F12" s="27">
        <f>B4*B5*12</f>
        <v>408000</v>
      </c>
      <c r="G12" s="36"/>
      <c r="H12" s="46"/>
      <c r="I12" s="25"/>
      <c r="J12" s="25"/>
      <c r="K12" s="25"/>
      <c r="L12" s="25"/>
    </row>
    <row r="13" spans="1:12" x14ac:dyDescent="0.25">
      <c r="A13" s="26" t="s">
        <v>4</v>
      </c>
      <c r="B13" s="28"/>
      <c r="C13" s="28"/>
      <c r="D13" s="28"/>
      <c r="E13" s="28"/>
      <c r="F13" s="28"/>
      <c r="G13" s="35"/>
      <c r="H13" s="46"/>
      <c r="I13" s="25"/>
      <c r="J13" s="25"/>
      <c r="K13" s="25"/>
      <c r="L13" s="25"/>
    </row>
    <row r="14" spans="1:12" x14ac:dyDescent="0.25">
      <c r="A14" s="17" t="s">
        <v>6</v>
      </c>
      <c r="B14" s="29">
        <f>B12+B13</f>
        <v>408000</v>
      </c>
      <c r="C14" s="29">
        <f t="shared" ref="C14:F14" si="1">C12+C13</f>
        <v>408000</v>
      </c>
      <c r="D14" s="29">
        <f t="shared" si="1"/>
        <v>408000</v>
      </c>
      <c r="E14" s="29">
        <f t="shared" si="1"/>
        <v>408000</v>
      </c>
      <c r="F14" s="29">
        <f t="shared" si="1"/>
        <v>408000</v>
      </c>
      <c r="G14" s="36"/>
      <c r="H14" s="46"/>
      <c r="I14" s="25"/>
      <c r="J14" s="25"/>
      <c r="K14" s="25"/>
      <c r="L14" s="25"/>
    </row>
    <row r="15" spans="1:12" x14ac:dyDescent="0.25">
      <c r="A15" s="8" t="s">
        <v>7</v>
      </c>
      <c r="B15" s="19">
        <f t="shared" ref="B15:G15" si="2">$E$5</f>
        <v>0.02</v>
      </c>
      <c r="C15" s="19">
        <f t="shared" si="2"/>
        <v>0.02</v>
      </c>
      <c r="D15" s="19">
        <f t="shared" si="2"/>
        <v>0.02</v>
      </c>
      <c r="E15" s="19">
        <f t="shared" si="2"/>
        <v>0.02</v>
      </c>
      <c r="F15" s="19">
        <f t="shared" si="2"/>
        <v>0.02</v>
      </c>
      <c r="G15" s="38">
        <f t="shared" si="2"/>
        <v>0.02</v>
      </c>
      <c r="H15" s="47"/>
      <c r="I15" s="10"/>
      <c r="J15" s="10"/>
      <c r="K15" s="10"/>
      <c r="L15" s="10"/>
    </row>
    <row r="16" spans="1:12" ht="26.4" x14ac:dyDescent="0.25">
      <c r="A16" s="72" t="s">
        <v>24</v>
      </c>
      <c r="B16" s="21">
        <f>B14</f>
        <v>408000</v>
      </c>
      <c r="C16" s="21">
        <f>C14*(1+B15)</f>
        <v>416160</v>
      </c>
      <c r="D16" s="21">
        <f>C16*(1+D15)</f>
        <v>424483.2</v>
      </c>
      <c r="E16" s="21">
        <f>D16*(1+E15)</f>
        <v>432972.864</v>
      </c>
      <c r="F16" s="21">
        <f>E16*(1+F15)</f>
        <v>441632.32128000003</v>
      </c>
      <c r="G16" s="37">
        <f>F16*(1+F15)</f>
        <v>450464.96770560002</v>
      </c>
      <c r="H16" s="48"/>
      <c r="I16" s="11"/>
      <c r="J16" s="11"/>
      <c r="K16" s="11"/>
      <c r="L16" s="11"/>
    </row>
    <row r="17" spans="1:12" x14ac:dyDescent="0.25">
      <c r="A17" s="71" t="s">
        <v>25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79">
        <v>0.1</v>
      </c>
      <c r="H17" s="48"/>
      <c r="I17" s="11"/>
      <c r="J17" s="11"/>
      <c r="K17" s="11"/>
      <c r="L17" s="11"/>
    </row>
    <row r="18" spans="1:12" x14ac:dyDescent="0.25">
      <c r="A18" s="17" t="s">
        <v>23</v>
      </c>
      <c r="B18" s="18">
        <f t="shared" ref="B18:G18" si="3">B16*(1-B17)</f>
        <v>408000</v>
      </c>
      <c r="C18" s="18">
        <f t="shared" si="3"/>
        <v>416160</v>
      </c>
      <c r="D18" s="18">
        <f t="shared" si="3"/>
        <v>424483.2</v>
      </c>
      <c r="E18" s="18">
        <f t="shared" si="3"/>
        <v>432972.864</v>
      </c>
      <c r="F18" s="18">
        <f t="shared" si="3"/>
        <v>441632.32128000003</v>
      </c>
      <c r="G18" s="37">
        <f t="shared" si="3"/>
        <v>405418.47093504004</v>
      </c>
      <c r="H18" s="48"/>
      <c r="I18" s="10"/>
      <c r="J18" s="10"/>
      <c r="K18" s="10"/>
      <c r="L18" s="10"/>
    </row>
    <row r="19" spans="1:12" x14ac:dyDescent="0.25">
      <c r="A19" s="17" t="s">
        <v>135</v>
      </c>
      <c r="B19" s="18">
        <f>B7*B4*12</f>
        <v>84000</v>
      </c>
      <c r="C19" s="18">
        <f>B19*(1+B15)</f>
        <v>85680</v>
      </c>
      <c r="D19" s="18">
        <f t="shared" ref="D19:E19" si="4">C19*(1+C15)</f>
        <v>87393.600000000006</v>
      </c>
      <c r="E19" s="18">
        <f t="shared" si="4"/>
        <v>89141.472000000009</v>
      </c>
      <c r="F19" s="18">
        <f>E19*(1+E15)</f>
        <v>90924.30144000001</v>
      </c>
      <c r="G19" s="37">
        <f>F19*(1+F15)</f>
        <v>92742.787468800016</v>
      </c>
      <c r="H19" s="49" t="s">
        <v>147</v>
      </c>
      <c r="I19" s="10"/>
      <c r="J19" s="10"/>
      <c r="K19" s="10"/>
      <c r="L19" s="10"/>
    </row>
    <row r="20" spans="1:12" x14ac:dyDescent="0.25">
      <c r="A20" s="17" t="s">
        <v>134</v>
      </c>
      <c r="B20" s="18">
        <f>B8*B4*12</f>
        <v>36000</v>
      </c>
      <c r="C20" s="18">
        <f>B20*(1+B15)</f>
        <v>36720</v>
      </c>
      <c r="D20" s="18">
        <f t="shared" ref="D20:G20" si="5">C20*(1+C15)</f>
        <v>37454.400000000001</v>
      </c>
      <c r="E20" s="18">
        <f t="shared" si="5"/>
        <v>38203.488000000005</v>
      </c>
      <c r="F20" s="18">
        <f t="shared" si="5"/>
        <v>38967.557760000003</v>
      </c>
      <c r="G20" s="18">
        <f t="shared" si="5"/>
        <v>39746.908915200002</v>
      </c>
      <c r="H20" s="49"/>
      <c r="I20" s="10"/>
      <c r="J20" s="10"/>
      <c r="K20" s="10"/>
      <c r="L20" s="10"/>
    </row>
    <row r="21" spans="1:12" x14ac:dyDescent="0.25">
      <c r="A21" s="26" t="s">
        <v>26</v>
      </c>
      <c r="B21" s="20">
        <f>B18-B19-B20</f>
        <v>288000</v>
      </c>
      <c r="C21" s="20">
        <f t="shared" ref="C21:G21" si="6">C18-C19-C20</f>
        <v>293760</v>
      </c>
      <c r="D21" s="20">
        <f t="shared" si="6"/>
        <v>299635.19999999995</v>
      </c>
      <c r="E21" s="20">
        <f t="shared" si="6"/>
        <v>305627.90399999998</v>
      </c>
      <c r="F21" s="20">
        <f t="shared" si="6"/>
        <v>311740.46208000003</v>
      </c>
      <c r="G21" s="20">
        <f t="shared" si="6"/>
        <v>272928.77455104003</v>
      </c>
      <c r="H21" s="50"/>
      <c r="I21" s="31"/>
      <c r="J21" s="31"/>
      <c r="K21" s="31"/>
      <c r="L21" s="31"/>
    </row>
    <row r="22" spans="1:12" hidden="1" x14ac:dyDescent="0.25">
      <c r="A22" s="17" t="s">
        <v>22</v>
      </c>
      <c r="B22" s="16">
        <f>B21/$B$30</f>
        <v>0.10188549614596429</v>
      </c>
      <c r="C22" s="16">
        <f>C21/$B$30</f>
        <v>0.10392320606888357</v>
      </c>
      <c r="D22" s="16">
        <f>D21/$B$30</f>
        <v>0.10600167019026122</v>
      </c>
      <c r="E22" s="16">
        <f>E21/$B$30</f>
        <v>0.10812170359406646</v>
      </c>
      <c r="F22" s="16">
        <f>F21/$B$30</f>
        <v>0.1102841376659478</v>
      </c>
      <c r="G22" s="39"/>
      <c r="H22" s="51" t="s">
        <v>34</v>
      </c>
      <c r="I22" s="16"/>
      <c r="J22" s="16"/>
      <c r="K22" s="16"/>
      <c r="L22" s="31"/>
    </row>
    <row r="23" spans="1:12" x14ac:dyDescent="0.25">
      <c r="A23" s="70" t="s">
        <v>28</v>
      </c>
      <c r="B23" s="44">
        <f>1/(1+$E$7)^B10</f>
        <v>0.90909090909090906</v>
      </c>
      <c r="C23" s="44">
        <f>1/(1+$E$7)^C10</f>
        <v>0.82644628099173545</v>
      </c>
      <c r="D23" s="44">
        <f>1/(1+$E$7)^D10</f>
        <v>0.75131480090157754</v>
      </c>
      <c r="E23" s="44">
        <f>1/(1+$E$7)^E10</f>
        <v>0.68301345536507052</v>
      </c>
      <c r="F23" s="44">
        <f>1/(1+$E$7)^F10</f>
        <v>0.62092132305915493</v>
      </c>
      <c r="G23" s="54">
        <f>1/(1+$E$7)^F10</f>
        <v>0.62092132305915493</v>
      </c>
      <c r="H23" s="52" t="s">
        <v>12</v>
      </c>
      <c r="I23" s="32"/>
      <c r="J23" s="32"/>
      <c r="K23" s="32"/>
      <c r="L23" s="32"/>
    </row>
    <row r="24" spans="1:12" x14ac:dyDescent="0.25">
      <c r="A24" s="69" t="s">
        <v>27</v>
      </c>
      <c r="B24" s="45">
        <f>B21*B23</f>
        <v>261818.18181818182</v>
      </c>
      <c r="C24" s="45">
        <f>C21*C23</f>
        <v>242776.85950413221</v>
      </c>
      <c r="D24" s="45">
        <f>D21*D23</f>
        <v>225120.36063110433</v>
      </c>
      <c r="E24" s="45">
        <f>E21*E23</f>
        <v>208747.97076702403</v>
      </c>
      <c r="F24" s="45">
        <f>F21*F23</f>
        <v>193566.30016578594</v>
      </c>
      <c r="G24" s="40"/>
      <c r="H24" s="53" t="s">
        <v>13</v>
      </c>
      <c r="I24" s="33"/>
      <c r="J24" s="33"/>
      <c r="K24" s="33"/>
      <c r="L24" s="2"/>
    </row>
    <row r="25" spans="1:12" x14ac:dyDescent="0.25">
      <c r="H25" s="2"/>
      <c r="I25" s="2"/>
      <c r="J25" s="2"/>
      <c r="K25" s="2"/>
      <c r="L25" s="2"/>
    </row>
    <row r="26" spans="1:12" ht="26.4" x14ac:dyDescent="0.25">
      <c r="A26" s="65" t="s">
        <v>29</v>
      </c>
      <c r="B26" s="6">
        <f>SUM(B24:F24)</f>
        <v>1132029.6728862284</v>
      </c>
    </row>
    <row r="27" spans="1:12" ht="26.4" x14ac:dyDescent="0.25">
      <c r="A27" s="65" t="s">
        <v>21</v>
      </c>
      <c r="B27" s="6">
        <f>G21/E8</f>
        <v>2729287.7455104003</v>
      </c>
      <c r="C27" s="14" t="s">
        <v>37</v>
      </c>
      <c r="H27" s="64" t="s">
        <v>11</v>
      </c>
      <c r="I27" s="6"/>
      <c r="J27" s="6"/>
    </row>
    <row r="28" spans="1:12" ht="52.8" x14ac:dyDescent="0.25">
      <c r="A28" s="14" t="s">
        <v>20</v>
      </c>
      <c r="B28" s="5">
        <f>B27*G23</f>
        <v>1694672.9579514558</v>
      </c>
      <c r="C28" s="65" t="s">
        <v>15</v>
      </c>
      <c r="H28" s="14" t="s">
        <v>10</v>
      </c>
    </row>
    <row r="30" spans="1:12" x14ac:dyDescent="0.25">
      <c r="A30" s="59" t="s">
        <v>130</v>
      </c>
      <c r="B30" s="60">
        <f>B26+B28</f>
        <v>2826702.6308376845</v>
      </c>
      <c r="C30" s="59" t="s">
        <v>0</v>
      </c>
      <c r="D30" s="14" t="s">
        <v>16</v>
      </c>
    </row>
    <row r="31" spans="1:12" x14ac:dyDescent="0.25">
      <c r="A31" s="59"/>
      <c r="B31" s="60">
        <f>B30/2000</f>
        <v>1413.3513154188422</v>
      </c>
      <c r="C31" s="59" t="s">
        <v>139</v>
      </c>
    </row>
    <row r="32" spans="1:12" x14ac:dyDescent="0.25">
      <c r="A32" s="59" t="s">
        <v>17</v>
      </c>
      <c r="B32" s="61">
        <f>B21/B30</f>
        <v>0.10188549614596429</v>
      </c>
      <c r="C32" s="59"/>
    </row>
    <row r="34" spans="1:7" x14ac:dyDescent="0.25">
      <c r="A34" s="55"/>
      <c r="B34" s="56"/>
      <c r="C34" s="24"/>
      <c r="D34" s="55"/>
      <c r="E34" s="55"/>
      <c r="F34" s="57"/>
      <c r="G34" s="55"/>
    </row>
    <row r="35" spans="1:7" x14ac:dyDescent="0.25">
      <c r="A35" s="3"/>
      <c r="B35" s="56"/>
      <c r="C35" s="24"/>
      <c r="D35" s="55"/>
      <c r="E35" s="56"/>
      <c r="F35" s="58"/>
      <c r="G35" s="55"/>
    </row>
    <row r="36" spans="1:7" x14ac:dyDescent="0.25">
      <c r="A36" s="67"/>
      <c r="B36" s="56"/>
      <c r="C36" s="66"/>
      <c r="D36" s="55"/>
      <c r="E36" s="56"/>
      <c r="F36" s="58"/>
      <c r="G36" s="55"/>
    </row>
    <row r="37" spans="1:7" x14ac:dyDescent="0.25">
      <c r="A37" s="14"/>
      <c r="B37" s="56"/>
      <c r="C37" s="68"/>
      <c r="D37" s="55"/>
      <c r="E37" s="56"/>
      <c r="F37" s="58"/>
      <c r="G37" s="55"/>
    </row>
    <row r="38" spans="1:7" x14ac:dyDescent="0.25">
      <c r="B38" s="67"/>
      <c r="C38" s="6"/>
      <c r="D38" s="2"/>
      <c r="E38" s="2"/>
      <c r="F38" s="2"/>
      <c r="G38" s="2"/>
    </row>
    <row r="39" spans="1:7" x14ac:dyDescent="0.25">
      <c r="A39" s="14"/>
      <c r="B39" s="6"/>
      <c r="C39" s="14"/>
      <c r="D39" s="2"/>
      <c r="E39" s="2"/>
      <c r="F39" s="2"/>
      <c r="G39" s="2"/>
    </row>
    <row r="41" spans="1:7" x14ac:dyDescent="0.25">
      <c r="A41" s="14"/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8" workbookViewId="0">
      <selection activeCell="H28" sqref="H28"/>
    </sheetView>
  </sheetViews>
  <sheetFormatPr defaultRowHeight="13.2" x14ac:dyDescent="0.25"/>
  <cols>
    <col min="1" max="1" width="31.5546875" customWidth="1"/>
    <col min="2" max="2" width="14.5546875" customWidth="1"/>
    <col min="3" max="3" width="13.44140625" customWidth="1"/>
    <col min="4" max="4" width="14.33203125" customWidth="1"/>
    <col min="5" max="5" width="15.5546875" bestFit="1" customWidth="1"/>
    <col min="6" max="6" width="11.88671875" bestFit="1" customWidth="1"/>
    <col min="7" max="7" width="13.109375" customWidth="1"/>
    <col min="8" max="8" width="56" bestFit="1" customWidth="1"/>
    <col min="9" max="12" width="11.88671875" bestFit="1" customWidth="1"/>
  </cols>
  <sheetData>
    <row r="1" spans="1:12" ht="15.6" x14ac:dyDescent="0.3">
      <c r="A1" s="62"/>
      <c r="D1" s="1"/>
      <c r="E1" s="4"/>
    </row>
    <row r="2" spans="1:12" ht="15.6" x14ac:dyDescent="0.3">
      <c r="A2" s="62"/>
    </row>
    <row r="4" spans="1:12" x14ac:dyDescent="0.25">
      <c r="A4" s="30" t="s">
        <v>2</v>
      </c>
      <c r="B4">
        <v>90</v>
      </c>
      <c r="C4" s="14" t="s">
        <v>144</v>
      </c>
      <c r="D4" s="14" t="s">
        <v>151</v>
      </c>
      <c r="E4" s="14" t="s">
        <v>137</v>
      </c>
    </row>
    <row r="5" spans="1:12" ht="26.4" x14ac:dyDescent="0.25">
      <c r="A5" s="30" t="s">
        <v>31</v>
      </c>
      <c r="B5" s="41">
        <v>15</v>
      </c>
      <c r="C5" s="14" t="s">
        <v>138</v>
      </c>
      <c r="D5" s="80" t="s">
        <v>40</v>
      </c>
      <c r="E5" s="15">
        <v>0.02</v>
      </c>
    </row>
    <row r="6" spans="1:12" ht="26.4" x14ac:dyDescent="0.25">
      <c r="A6" s="30" t="s">
        <v>4</v>
      </c>
      <c r="B6" s="41">
        <v>17</v>
      </c>
      <c r="C6" s="14" t="s">
        <v>138</v>
      </c>
      <c r="D6" s="80" t="s">
        <v>38</v>
      </c>
      <c r="E6" s="15">
        <v>0.08</v>
      </c>
    </row>
    <row r="7" spans="1:12" x14ac:dyDescent="0.25">
      <c r="A7" s="30" t="s">
        <v>135</v>
      </c>
      <c r="B7" s="41">
        <v>3.5</v>
      </c>
      <c r="C7" s="14" t="s">
        <v>138</v>
      </c>
      <c r="D7" s="74" t="s">
        <v>5</v>
      </c>
      <c r="E7" s="15">
        <f>E6+B15</f>
        <v>0.1</v>
      </c>
    </row>
    <row r="8" spans="1:12" x14ac:dyDescent="0.25">
      <c r="A8" s="30"/>
      <c r="B8" s="41"/>
      <c r="C8" s="14"/>
      <c r="D8" s="74"/>
      <c r="E8" s="15"/>
    </row>
    <row r="9" spans="1:12" x14ac:dyDescent="0.25">
      <c r="B9" s="1">
        <v>43466</v>
      </c>
      <c r="C9" s="1">
        <v>43831</v>
      </c>
      <c r="D9" s="1">
        <v>44197</v>
      </c>
      <c r="E9" s="1">
        <v>44562</v>
      </c>
      <c r="F9" s="1">
        <v>44927</v>
      </c>
      <c r="G9" s="1">
        <v>45292</v>
      </c>
    </row>
    <row r="10" spans="1:12" x14ac:dyDescent="0.25">
      <c r="A10" s="7"/>
      <c r="B10" s="22">
        <v>1</v>
      </c>
      <c r="C10" s="22">
        <f>B10+1</f>
        <v>2</v>
      </c>
      <c r="D10" s="22">
        <f t="shared" ref="D10:G11" si="0">C10+1</f>
        <v>3</v>
      </c>
      <c r="E10" s="22">
        <f t="shared" si="0"/>
        <v>4</v>
      </c>
      <c r="F10" s="22">
        <f t="shared" si="0"/>
        <v>5</v>
      </c>
      <c r="G10" s="34">
        <f t="shared" si="0"/>
        <v>6</v>
      </c>
      <c r="H10" s="25"/>
      <c r="I10" s="25"/>
      <c r="J10" s="25"/>
      <c r="K10" s="25"/>
      <c r="L10" s="25"/>
    </row>
    <row r="11" spans="1:12" x14ac:dyDescent="0.25">
      <c r="A11" s="9"/>
      <c r="B11" s="23">
        <v>2019</v>
      </c>
      <c r="C11" s="23">
        <f>B11+1</f>
        <v>2020</v>
      </c>
      <c r="D11" s="23">
        <f t="shared" si="0"/>
        <v>2021</v>
      </c>
      <c r="E11" s="23">
        <f t="shared" si="0"/>
        <v>2022</v>
      </c>
      <c r="F11" s="23">
        <f t="shared" si="0"/>
        <v>2023</v>
      </c>
      <c r="G11" s="35">
        <f t="shared" si="0"/>
        <v>2024</v>
      </c>
      <c r="H11" s="25"/>
      <c r="I11" s="25"/>
      <c r="J11" s="25"/>
      <c r="K11" s="25"/>
      <c r="L11" s="25"/>
    </row>
    <row r="12" spans="1:12" x14ac:dyDescent="0.25">
      <c r="A12" s="74" t="s">
        <v>31</v>
      </c>
      <c r="B12" s="27">
        <f>15*90*12</f>
        <v>16200</v>
      </c>
      <c r="C12" s="27">
        <f>15*90*12</f>
        <v>16200</v>
      </c>
      <c r="D12" s="27">
        <f>15*90*6</f>
        <v>8100</v>
      </c>
      <c r="E12" s="27"/>
      <c r="F12" s="27"/>
      <c r="G12" s="36"/>
      <c r="H12" s="46"/>
      <c r="I12" s="25"/>
      <c r="J12" s="25"/>
      <c r="K12" s="25"/>
      <c r="L12" s="25"/>
    </row>
    <row r="13" spans="1:12" x14ac:dyDescent="0.25">
      <c r="A13" s="26" t="s">
        <v>4</v>
      </c>
      <c r="B13" s="28"/>
      <c r="C13" s="28"/>
      <c r="D13" s="28">
        <f>90*6*B6</f>
        <v>9180</v>
      </c>
      <c r="E13" s="28">
        <f>90*12*B6</f>
        <v>18360</v>
      </c>
      <c r="F13" s="28">
        <f>90*12*B6</f>
        <v>18360</v>
      </c>
      <c r="G13" s="35"/>
      <c r="H13" s="46"/>
      <c r="I13" s="25"/>
      <c r="J13" s="25"/>
      <c r="K13" s="25"/>
      <c r="L13" s="25"/>
    </row>
    <row r="14" spans="1:12" x14ac:dyDescent="0.25">
      <c r="A14" s="17" t="s">
        <v>39</v>
      </c>
      <c r="B14" s="29">
        <f>B12+B13</f>
        <v>16200</v>
      </c>
      <c r="C14" s="29">
        <f t="shared" ref="C14:E14" si="1">C12+C13</f>
        <v>16200</v>
      </c>
      <c r="D14" s="29">
        <f t="shared" si="1"/>
        <v>17280</v>
      </c>
      <c r="E14" s="29">
        <f t="shared" si="1"/>
        <v>18360</v>
      </c>
      <c r="F14" s="29">
        <f>F12+F13</f>
        <v>18360</v>
      </c>
      <c r="G14" s="36"/>
      <c r="H14" s="46"/>
      <c r="I14" s="25"/>
      <c r="J14" s="25"/>
      <c r="K14" s="25"/>
      <c r="L14" s="25"/>
    </row>
    <row r="15" spans="1:12" x14ac:dyDescent="0.25">
      <c r="A15" s="8" t="s">
        <v>40</v>
      </c>
      <c r="B15" s="19">
        <f t="shared" ref="B15:G15" si="2">$E$5</f>
        <v>0.02</v>
      </c>
      <c r="C15" s="19">
        <f t="shared" si="2"/>
        <v>0.02</v>
      </c>
      <c r="D15" s="19">
        <f t="shared" si="2"/>
        <v>0.02</v>
      </c>
      <c r="E15" s="19">
        <f t="shared" si="2"/>
        <v>0.02</v>
      </c>
      <c r="F15" s="19">
        <f>$E$5</f>
        <v>0.02</v>
      </c>
      <c r="G15" s="38">
        <f t="shared" si="2"/>
        <v>0.02</v>
      </c>
      <c r="H15" s="47"/>
      <c r="I15" s="10"/>
      <c r="J15" s="10"/>
      <c r="K15" s="10"/>
      <c r="L15" s="10"/>
    </row>
    <row r="16" spans="1:12" x14ac:dyDescent="0.25">
      <c r="A16" s="43" t="s">
        <v>41</v>
      </c>
      <c r="B16" s="21">
        <f>B14</f>
        <v>16200</v>
      </c>
      <c r="C16" s="21">
        <f>B14*(1+B15)</f>
        <v>16524</v>
      </c>
      <c r="D16" s="21">
        <f>D14*(1+C15)</f>
        <v>17625.599999999999</v>
      </c>
      <c r="E16" s="21">
        <f>E14*(1+D15)</f>
        <v>18727.2</v>
      </c>
      <c r="F16" s="21">
        <f>E16*(1+E15)</f>
        <v>19101.744000000002</v>
      </c>
      <c r="G16" s="37">
        <f>$F$16*(1+$F$15)</f>
        <v>19483.778880000002</v>
      </c>
      <c r="H16" s="48" t="s">
        <v>50</v>
      </c>
      <c r="I16" s="11"/>
      <c r="J16" s="11"/>
      <c r="K16" s="11"/>
      <c r="L16" s="11"/>
    </row>
    <row r="17" spans="1:12" x14ac:dyDescent="0.25">
      <c r="A17" s="42" t="s">
        <v>25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38">
        <v>0</v>
      </c>
      <c r="H17" s="48"/>
      <c r="I17" s="11"/>
      <c r="J17" s="11"/>
      <c r="K17" s="11"/>
      <c r="L17" s="11"/>
    </row>
    <row r="18" spans="1:12" x14ac:dyDescent="0.25">
      <c r="A18" s="17" t="s">
        <v>23</v>
      </c>
      <c r="B18" s="18">
        <f t="shared" ref="B18:G18" si="3">B16*(1-B17)</f>
        <v>16200</v>
      </c>
      <c r="C18" s="18">
        <f t="shared" si="3"/>
        <v>16524</v>
      </c>
      <c r="D18" s="18">
        <f t="shared" si="3"/>
        <v>17625.599999999999</v>
      </c>
      <c r="E18" s="18">
        <f t="shared" si="3"/>
        <v>18727.2</v>
      </c>
      <c r="F18" s="18">
        <f t="shared" si="3"/>
        <v>19101.744000000002</v>
      </c>
      <c r="G18" s="37">
        <f>G16*(1-G17)</f>
        <v>19483.778880000002</v>
      </c>
      <c r="H18" s="48" t="s">
        <v>57</v>
      </c>
      <c r="I18" s="10"/>
      <c r="J18" s="10"/>
      <c r="K18" s="10"/>
      <c r="L18" s="10"/>
    </row>
    <row r="19" spans="1:12" x14ac:dyDescent="0.25">
      <c r="A19" s="17" t="s">
        <v>135</v>
      </c>
      <c r="B19" s="18">
        <f>B7*B4*12</f>
        <v>3780</v>
      </c>
      <c r="C19" s="18">
        <f>B19*(1+B15)</f>
        <v>3855.6</v>
      </c>
      <c r="D19" s="18">
        <f t="shared" ref="D19:E19" si="4">C19*(1+C15)</f>
        <v>3932.712</v>
      </c>
      <c r="E19" s="18">
        <f t="shared" si="4"/>
        <v>4011.3662399999998</v>
      </c>
      <c r="F19" s="18">
        <f>E19*(1+E15)</f>
        <v>4091.5935648</v>
      </c>
      <c r="G19" s="37">
        <f>F19*(1+F15)</f>
        <v>4173.4254360960003</v>
      </c>
      <c r="H19" s="49" t="s">
        <v>148</v>
      </c>
      <c r="I19" s="10"/>
      <c r="J19" s="10"/>
      <c r="K19" s="10"/>
      <c r="L19" s="10"/>
    </row>
    <row r="20" spans="1:12" x14ac:dyDescent="0.25">
      <c r="A20" s="26" t="s">
        <v>134</v>
      </c>
      <c r="B20" s="18"/>
      <c r="C20" s="18"/>
      <c r="E20" s="18">
        <f>500*B4*(1+E5)^D10</f>
        <v>47754.359999999993</v>
      </c>
      <c r="F20" s="18"/>
      <c r="G20" s="37"/>
      <c r="H20" s="49"/>
      <c r="I20" s="10"/>
      <c r="J20" s="10"/>
      <c r="K20" s="10"/>
      <c r="L20" s="10"/>
    </row>
    <row r="21" spans="1:12" x14ac:dyDescent="0.25">
      <c r="A21" s="9" t="s">
        <v>42</v>
      </c>
      <c r="B21" s="20">
        <f>B18-B19-B20</f>
        <v>12420</v>
      </c>
      <c r="C21" s="20">
        <f>C18-C19-C20</f>
        <v>12668.4</v>
      </c>
      <c r="D21" s="20">
        <f>D18-D19-D20</f>
        <v>13692.887999999999</v>
      </c>
      <c r="E21" s="20">
        <f>E18-E19-E20</f>
        <v>-33038.526239999992</v>
      </c>
      <c r="F21" s="20">
        <f>F18-F19-F20</f>
        <v>15010.150435200003</v>
      </c>
      <c r="G21" s="37">
        <f>G18-G19-G20</f>
        <v>15310.353443904001</v>
      </c>
      <c r="H21" s="50"/>
      <c r="I21" s="31"/>
      <c r="J21" s="31"/>
      <c r="K21" s="31"/>
      <c r="L21" s="31"/>
    </row>
    <row r="22" spans="1:12" x14ac:dyDescent="0.25">
      <c r="A22" s="17" t="s">
        <v>43</v>
      </c>
      <c r="B22" s="16">
        <f>B21/$B$30</f>
        <v>9.0239162198719233E-2</v>
      </c>
      <c r="C22" s="16">
        <f>C21/$B$30</f>
        <v>9.204394544269362E-2</v>
      </c>
      <c r="D22" s="16">
        <f>D21/$B$30</f>
        <v>9.9487499291537537E-2</v>
      </c>
      <c r="E22" s="16">
        <f>E21/$B$30</f>
        <v>-0.2400458074217392</v>
      </c>
      <c r="F22" s="16">
        <f>F21/$B$30</f>
        <v>0.10905824474631154</v>
      </c>
      <c r="G22" s="39"/>
      <c r="H22" s="51" t="s">
        <v>51</v>
      </c>
      <c r="I22" s="16"/>
      <c r="J22" s="16"/>
      <c r="K22" s="16"/>
      <c r="L22" s="31"/>
    </row>
    <row r="23" spans="1:12" x14ac:dyDescent="0.25">
      <c r="A23" s="12" t="s">
        <v>28</v>
      </c>
      <c r="B23" s="44">
        <f>1/(1+$E$7)^B10</f>
        <v>0.90909090909090906</v>
      </c>
      <c r="C23" s="44">
        <f>1/(1+$E$7)^C10</f>
        <v>0.82644628099173545</v>
      </c>
      <c r="D23" s="44">
        <f>1/(1+$E$7)^D10</f>
        <v>0.75131480090157754</v>
      </c>
      <c r="E23" s="44">
        <f>1/(1+$E$7)^E10</f>
        <v>0.68301345536507052</v>
      </c>
      <c r="F23" s="44">
        <f>1/(1+$E$7)^F10</f>
        <v>0.62092132305915493</v>
      </c>
      <c r="G23" s="54">
        <f>1/(1+$E$7)^F10</f>
        <v>0.62092132305915493</v>
      </c>
      <c r="H23" s="52" t="s">
        <v>52</v>
      </c>
      <c r="I23" s="32"/>
      <c r="J23" s="32"/>
      <c r="K23" s="32"/>
      <c r="L23" s="32"/>
    </row>
    <row r="24" spans="1:12" x14ac:dyDescent="0.25">
      <c r="A24" s="13" t="s">
        <v>47</v>
      </c>
      <c r="B24" s="45">
        <f>B21*B23</f>
        <v>11290.90909090909</v>
      </c>
      <c r="C24" s="45">
        <f>C21*C23</f>
        <v>10469.752066115701</v>
      </c>
      <c r="D24" s="45">
        <f>D21*D23</f>
        <v>10287.669421487599</v>
      </c>
      <c r="E24" s="45">
        <f>E21*E23</f>
        <v>-22565.757967351947</v>
      </c>
      <c r="F24" s="45">
        <f>F21*F23</f>
        <v>9320.1224675413359</v>
      </c>
      <c r="G24" s="40"/>
      <c r="H24" s="53" t="s">
        <v>53</v>
      </c>
      <c r="I24" s="33"/>
      <c r="J24" s="33"/>
      <c r="K24" s="33"/>
      <c r="L24" s="2"/>
    </row>
    <row r="25" spans="1:12" x14ac:dyDescent="0.25">
      <c r="H25" s="2"/>
      <c r="I25" s="2"/>
      <c r="J25" s="2"/>
      <c r="K25" s="2"/>
      <c r="L25" s="2"/>
    </row>
    <row r="26" spans="1:12" x14ac:dyDescent="0.25">
      <c r="A26" t="s">
        <v>44</v>
      </c>
      <c r="B26" s="6">
        <f>SUM(B24:F24)</f>
        <v>18802.695078701778</v>
      </c>
    </row>
    <row r="27" spans="1:12" x14ac:dyDescent="0.25">
      <c r="A27" s="14" t="s">
        <v>45</v>
      </c>
      <c r="B27" s="6">
        <f>G21/E6</f>
        <v>191379.4180488</v>
      </c>
      <c r="C27" s="14" t="s">
        <v>46</v>
      </c>
      <c r="H27" s="64" t="s">
        <v>55</v>
      </c>
      <c r="I27" s="6"/>
      <c r="J27" s="6"/>
    </row>
    <row r="28" spans="1:12" ht="26.4" x14ac:dyDescent="0.25">
      <c r="A28" s="81" t="s">
        <v>48</v>
      </c>
      <c r="B28" s="5">
        <f>B27*G23</f>
        <v>118831.56146115201</v>
      </c>
      <c r="C28" s="14" t="s">
        <v>56</v>
      </c>
      <c r="H28" s="14" t="s">
        <v>54</v>
      </c>
    </row>
    <row r="30" spans="1:12" x14ac:dyDescent="0.25">
      <c r="A30" s="59" t="s">
        <v>130</v>
      </c>
      <c r="B30" s="60">
        <f>B26+B28</f>
        <v>137634.25653985378</v>
      </c>
      <c r="C30" s="59" t="s">
        <v>0</v>
      </c>
      <c r="D30" s="14" t="s">
        <v>49</v>
      </c>
    </row>
    <row r="31" spans="1:12" x14ac:dyDescent="0.25">
      <c r="A31" s="59"/>
      <c r="B31" s="60">
        <f>B30/90</f>
        <v>1529.2695171094865</v>
      </c>
      <c r="C31" s="59" t="s">
        <v>139</v>
      </c>
    </row>
    <row r="32" spans="1:12" x14ac:dyDescent="0.25">
      <c r="A32" s="59" t="s">
        <v>17</v>
      </c>
      <c r="B32" s="61">
        <f>B21/B30</f>
        <v>9.0239162198719233E-2</v>
      </c>
      <c r="C32" s="59"/>
    </row>
    <row r="34" spans="1:7" x14ac:dyDescent="0.25">
      <c r="A34" s="55"/>
      <c r="B34" s="56"/>
      <c r="C34" s="24"/>
      <c r="D34" s="55"/>
      <c r="E34" s="55"/>
      <c r="F34" s="57"/>
      <c r="G34" s="55"/>
    </row>
    <row r="35" spans="1:7" x14ac:dyDescent="0.25">
      <c r="A35" s="59" t="s">
        <v>152</v>
      </c>
      <c r="B35" s="124">
        <f>B21/B32</f>
        <v>137634.25653985378</v>
      </c>
      <c r="C35" s="59" t="s">
        <v>0</v>
      </c>
      <c r="D35" s="55"/>
      <c r="E35" s="56"/>
      <c r="F35" s="58"/>
      <c r="G35" s="55"/>
    </row>
    <row r="36" spans="1:7" x14ac:dyDescent="0.25">
      <c r="A36" s="14"/>
      <c r="B36" s="123"/>
      <c r="C36" s="14"/>
      <c r="D36" s="2"/>
      <c r="E36" s="2"/>
      <c r="F36" s="2"/>
      <c r="G36" s="2"/>
    </row>
    <row r="38" spans="1:7" x14ac:dyDescent="0.25">
      <c r="A38" s="14"/>
      <c r="B38" s="122"/>
      <c r="C38" s="67"/>
    </row>
    <row r="40" spans="1:7" x14ac:dyDescent="0.25">
      <c r="B40" s="122"/>
      <c r="C40" s="14"/>
    </row>
  </sheetData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AM84"/>
  <sheetViews>
    <sheetView topLeftCell="A27" zoomScale="85" zoomScaleNormal="85" workbookViewId="0">
      <selection activeCell="E42" sqref="E42"/>
    </sheetView>
  </sheetViews>
  <sheetFormatPr defaultColWidth="9.109375" defaultRowHeight="14.4" x14ac:dyDescent="0.3"/>
  <cols>
    <col min="1" max="1" width="9.109375" style="63"/>
    <col min="2" max="2" width="32.33203125" style="63" customWidth="1"/>
    <col min="3" max="3" width="17.33203125" style="63" customWidth="1"/>
    <col min="4" max="4" width="20.6640625" style="63" customWidth="1"/>
    <col min="5" max="5" width="16.33203125" style="63" customWidth="1"/>
    <col min="6" max="6" width="21.109375" style="63" customWidth="1"/>
    <col min="7" max="7" width="15.6640625" style="63" customWidth="1"/>
    <col min="8" max="8" width="20.5546875" style="63" customWidth="1"/>
    <col min="9" max="9" width="12" style="63" customWidth="1"/>
    <col min="10" max="10" width="21.33203125" style="63" customWidth="1"/>
    <col min="11" max="11" width="26.44140625" style="63" customWidth="1"/>
    <col min="12" max="12" width="11.5546875" style="63" customWidth="1"/>
    <col min="13" max="13" width="16.109375" style="63" customWidth="1"/>
    <col min="14" max="14" width="9.109375" style="63"/>
    <col min="15" max="15" width="27.109375" style="63" customWidth="1"/>
    <col min="16" max="16" width="11.88671875" style="63" customWidth="1"/>
    <col min="17" max="17" width="5.6640625" style="63" customWidth="1"/>
    <col min="18" max="18" width="14" style="63" customWidth="1"/>
    <col min="19" max="21" width="9.109375" style="63"/>
    <col min="22" max="22" width="16.109375" style="63" customWidth="1"/>
    <col min="23" max="23" width="15.44140625" style="63" customWidth="1"/>
    <col min="24" max="16384" width="9.109375" style="63"/>
  </cols>
  <sheetData>
    <row r="7" spans="2:23" x14ac:dyDescent="0.3">
      <c r="F7" s="83"/>
      <c r="G7" s="83"/>
      <c r="H7" s="83"/>
      <c r="I7" s="83"/>
      <c r="J7" s="83"/>
      <c r="K7" s="83"/>
    </row>
    <row r="8" spans="2:23" x14ac:dyDescent="0.3">
      <c r="I8" s="83"/>
      <c r="J8" s="83"/>
    </row>
    <row r="10" spans="2:23" x14ac:dyDescent="0.3">
      <c r="F10" s="83"/>
      <c r="G10" s="83"/>
      <c r="H10" s="83"/>
      <c r="I10" s="83"/>
      <c r="J10" s="83"/>
      <c r="K10" s="83"/>
    </row>
    <row r="16" spans="2:23" x14ac:dyDescent="0.3">
      <c r="B16" s="86"/>
      <c r="C16" s="87"/>
      <c r="D16" s="87"/>
      <c r="E16" s="88"/>
      <c r="F16" s="88"/>
      <c r="G16" s="87"/>
      <c r="H16" s="87"/>
      <c r="I16" s="87"/>
      <c r="J16" s="87"/>
      <c r="K16" s="89"/>
      <c r="L16" s="90"/>
      <c r="M16" s="89"/>
      <c r="N16" s="89"/>
      <c r="O16" s="89"/>
      <c r="P16" s="89"/>
      <c r="R16" s="91"/>
      <c r="S16" s="84"/>
      <c r="U16" s="85"/>
      <c r="V16" s="41"/>
      <c r="W16" s="41"/>
    </row>
    <row r="17" spans="2:39" x14ac:dyDescent="0.3">
      <c r="C17" s="86"/>
      <c r="D17" s="86"/>
      <c r="E17" s="92"/>
      <c r="F17" s="92"/>
      <c r="G17" s="92"/>
      <c r="H17" s="92"/>
      <c r="I17" s="92"/>
      <c r="J17" s="92"/>
      <c r="K17" s="86"/>
      <c r="L17" s="86"/>
      <c r="M17" s="86"/>
      <c r="N17" s="86"/>
      <c r="O17" s="86"/>
      <c r="P17" s="86"/>
      <c r="Q17" s="86"/>
      <c r="R17" s="93"/>
    </row>
    <row r="18" spans="2:39" ht="15.6" x14ac:dyDescent="0.3">
      <c r="Z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</row>
    <row r="19" spans="2:39" ht="15.6" x14ac:dyDescent="0.3">
      <c r="C19" s="97"/>
      <c r="D19" s="98"/>
      <c r="E19" s="94"/>
      <c r="F19" s="98"/>
      <c r="G19" s="94"/>
      <c r="H19" s="98"/>
      <c r="I19" s="94"/>
      <c r="J19" s="98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5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</row>
    <row r="20" spans="2:39" ht="15.6" x14ac:dyDescent="0.3">
      <c r="B20" s="101"/>
      <c r="C20" s="104" t="s">
        <v>79</v>
      </c>
      <c r="D20" s="104" t="s">
        <v>113</v>
      </c>
      <c r="E20" s="104" t="s">
        <v>80</v>
      </c>
      <c r="F20" s="104" t="s">
        <v>113</v>
      </c>
      <c r="G20" s="104" t="s">
        <v>81</v>
      </c>
      <c r="H20" s="104" t="s">
        <v>113</v>
      </c>
      <c r="I20" s="104" t="s">
        <v>82</v>
      </c>
      <c r="J20" s="104" t="s">
        <v>113</v>
      </c>
      <c r="K20" s="104" t="s">
        <v>102</v>
      </c>
      <c r="L20" s="10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5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</row>
    <row r="21" spans="2:39" ht="15.6" x14ac:dyDescent="0.3">
      <c r="B21" s="102" t="s">
        <v>123</v>
      </c>
      <c r="C21" s="111" t="s">
        <v>68</v>
      </c>
      <c r="D21" s="112"/>
      <c r="E21" s="112" t="s">
        <v>122</v>
      </c>
      <c r="F21" s="112"/>
      <c r="G21" s="112" t="s">
        <v>68</v>
      </c>
      <c r="H21" s="112"/>
      <c r="I21" s="112" t="s">
        <v>68</v>
      </c>
      <c r="J21" s="112"/>
      <c r="K21" s="112" t="s">
        <v>122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</row>
    <row r="22" spans="2:39" ht="15.6" x14ac:dyDescent="0.3">
      <c r="B22" s="102" t="s">
        <v>64</v>
      </c>
      <c r="C22" s="111" t="s">
        <v>124</v>
      </c>
      <c r="D22" s="112"/>
      <c r="E22" s="112" t="s">
        <v>124</v>
      </c>
      <c r="F22" s="112"/>
      <c r="G22" s="112" t="s">
        <v>124</v>
      </c>
      <c r="H22" s="112"/>
      <c r="I22" s="112" t="s">
        <v>124</v>
      </c>
      <c r="J22" s="112"/>
      <c r="K22" s="112" t="s">
        <v>124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5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</row>
    <row r="23" spans="2:39" ht="15.6" x14ac:dyDescent="0.3">
      <c r="B23" s="102" t="s">
        <v>65</v>
      </c>
      <c r="C23" s="111" t="s">
        <v>103</v>
      </c>
      <c r="D23" s="112"/>
      <c r="E23" s="112" t="s">
        <v>103</v>
      </c>
      <c r="F23" s="112"/>
      <c r="G23" s="112" t="s">
        <v>104</v>
      </c>
      <c r="H23" s="116"/>
      <c r="I23" s="112" t="s">
        <v>104</v>
      </c>
      <c r="J23" s="116"/>
      <c r="K23" s="112" t="s">
        <v>103</v>
      </c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5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</row>
    <row r="24" spans="2:39" s="108" customFormat="1" ht="31.2" x14ac:dyDescent="0.25">
      <c r="B24" s="109" t="s">
        <v>70</v>
      </c>
      <c r="C24" s="117" t="s">
        <v>129</v>
      </c>
      <c r="D24" s="118" t="s">
        <v>110</v>
      </c>
      <c r="E24" s="118" t="s">
        <v>125</v>
      </c>
      <c r="F24" s="118" t="s">
        <v>110</v>
      </c>
      <c r="G24" s="118" t="s">
        <v>126</v>
      </c>
      <c r="H24" s="111" t="s">
        <v>112</v>
      </c>
      <c r="I24" s="118" t="s">
        <v>127</v>
      </c>
      <c r="J24" s="111" t="s">
        <v>112</v>
      </c>
      <c r="K24" s="111" t="s">
        <v>128</v>
      </c>
    </row>
    <row r="25" spans="2:39" ht="15.6" x14ac:dyDescent="0.3">
      <c r="B25" s="102" t="s">
        <v>143</v>
      </c>
      <c r="C25" s="111">
        <v>58</v>
      </c>
      <c r="D25" s="112" t="s">
        <v>106</v>
      </c>
      <c r="E25" s="112">
        <v>120</v>
      </c>
      <c r="F25" s="112" t="s">
        <v>114</v>
      </c>
      <c r="G25" s="112">
        <v>64</v>
      </c>
      <c r="H25" s="112" t="s">
        <v>106</v>
      </c>
      <c r="I25" s="112">
        <v>79</v>
      </c>
      <c r="J25" s="112" t="s">
        <v>114</v>
      </c>
      <c r="K25" s="112">
        <v>90</v>
      </c>
    </row>
    <row r="26" spans="2:39" ht="15.6" x14ac:dyDescent="0.3">
      <c r="B26" s="102" t="s">
        <v>132</v>
      </c>
      <c r="C26" s="111">
        <v>1958</v>
      </c>
      <c r="D26" s="112" t="s">
        <v>107</v>
      </c>
      <c r="E26" s="112">
        <v>1970</v>
      </c>
      <c r="F26" s="112" t="s">
        <v>107</v>
      </c>
      <c r="G26" s="112">
        <v>1980</v>
      </c>
      <c r="H26" s="112"/>
      <c r="I26" s="112">
        <v>1958</v>
      </c>
      <c r="J26" s="112" t="s">
        <v>107</v>
      </c>
      <c r="K26" s="112">
        <v>1980</v>
      </c>
    </row>
    <row r="27" spans="2:39" ht="15.6" x14ac:dyDescent="0.3">
      <c r="B27" s="102" t="s">
        <v>85</v>
      </c>
      <c r="C27" s="111">
        <v>1</v>
      </c>
      <c r="D27" s="112" t="s">
        <v>108</v>
      </c>
      <c r="E27" s="112">
        <v>2</v>
      </c>
      <c r="F27" s="112"/>
      <c r="G27" s="112">
        <v>2</v>
      </c>
      <c r="H27" s="112"/>
      <c r="I27" s="112">
        <v>2</v>
      </c>
      <c r="J27" s="112"/>
      <c r="K27" s="112">
        <v>2</v>
      </c>
    </row>
    <row r="28" spans="2:39" ht="31.2" x14ac:dyDescent="0.3">
      <c r="B28" s="102" t="s">
        <v>86</v>
      </c>
      <c r="C28" s="118" t="s">
        <v>75</v>
      </c>
      <c r="D28" s="119"/>
      <c r="E28" s="112" t="s">
        <v>76</v>
      </c>
      <c r="F28" s="112"/>
      <c r="G28" s="112" t="s">
        <v>77</v>
      </c>
      <c r="H28" s="112"/>
      <c r="I28" s="112" t="s">
        <v>78</v>
      </c>
      <c r="J28" s="112"/>
      <c r="K28" s="112" t="s">
        <v>78</v>
      </c>
    </row>
    <row r="29" spans="2:39" ht="15.6" x14ac:dyDescent="0.3">
      <c r="B29" s="102" t="s">
        <v>131</v>
      </c>
      <c r="C29" s="111">
        <v>1</v>
      </c>
      <c r="D29" s="112"/>
      <c r="E29" s="112">
        <v>1</v>
      </c>
      <c r="F29" s="112"/>
      <c r="G29" s="112">
        <v>1</v>
      </c>
      <c r="H29" s="112"/>
      <c r="I29" s="112">
        <v>2</v>
      </c>
      <c r="J29" s="112"/>
      <c r="K29" s="112">
        <v>1</v>
      </c>
    </row>
    <row r="30" spans="2:39" ht="15.6" x14ac:dyDescent="0.3">
      <c r="B30" s="102" t="s">
        <v>119</v>
      </c>
      <c r="C30" s="111">
        <v>1</v>
      </c>
      <c r="D30" s="112"/>
      <c r="E30" s="112">
        <v>2</v>
      </c>
      <c r="F30" s="112"/>
      <c r="G30" s="112">
        <v>3</v>
      </c>
      <c r="H30" s="112"/>
      <c r="I30" s="112">
        <v>3</v>
      </c>
      <c r="J30" s="112"/>
      <c r="K30" s="112">
        <v>1</v>
      </c>
    </row>
    <row r="31" spans="2:39" ht="15.6" x14ac:dyDescent="0.3">
      <c r="B31" s="103" t="s">
        <v>121</v>
      </c>
      <c r="C31" s="111">
        <v>88000</v>
      </c>
      <c r="D31" s="112"/>
      <c r="E31" s="112">
        <v>200000</v>
      </c>
      <c r="F31" s="112"/>
      <c r="G31" s="112">
        <v>78000</v>
      </c>
      <c r="H31" s="112"/>
      <c r="I31" s="112">
        <v>95000</v>
      </c>
      <c r="J31" s="112"/>
      <c r="K31" s="112" t="s">
        <v>74</v>
      </c>
    </row>
    <row r="32" spans="2:39" ht="15.6" x14ac:dyDescent="0.3">
      <c r="B32" s="102" t="s">
        <v>139</v>
      </c>
      <c r="C32" s="113">
        <f>C31/C25</f>
        <v>1517.2413793103449</v>
      </c>
      <c r="D32" s="112"/>
      <c r="E32" s="114">
        <f>E31/E25</f>
        <v>1666.6666666666667</v>
      </c>
      <c r="F32" s="114"/>
      <c r="G32" s="114">
        <f>G31/G25</f>
        <v>1218.75</v>
      </c>
      <c r="H32" s="114"/>
      <c r="I32" s="114">
        <f>I31/I25</f>
        <v>1202.5316455696202</v>
      </c>
      <c r="J32" s="112"/>
      <c r="K32" s="112" t="s">
        <v>74</v>
      </c>
    </row>
    <row r="33" spans="2:11" ht="15.6" x14ac:dyDescent="0.3">
      <c r="B33" s="102" t="s">
        <v>58</v>
      </c>
      <c r="C33" s="111" t="s">
        <v>93</v>
      </c>
      <c r="D33" s="112" t="s">
        <v>109</v>
      </c>
      <c r="E33" s="112" t="s">
        <v>100</v>
      </c>
      <c r="F33" s="112" t="s">
        <v>116</v>
      </c>
      <c r="G33" s="112" t="s">
        <v>60</v>
      </c>
      <c r="H33" s="112" t="s">
        <v>109</v>
      </c>
      <c r="I33" s="116" t="s">
        <v>59</v>
      </c>
      <c r="J33" s="116" t="s">
        <v>111</v>
      </c>
      <c r="K33" s="112" t="s">
        <v>59</v>
      </c>
    </row>
    <row r="34" spans="2:11" ht="15.6" x14ac:dyDescent="0.3">
      <c r="B34" s="102" t="s">
        <v>136</v>
      </c>
      <c r="C34" s="111">
        <v>43522</v>
      </c>
      <c r="D34" s="112"/>
      <c r="E34" s="112">
        <v>43299</v>
      </c>
      <c r="F34" s="112"/>
      <c r="G34" s="112">
        <v>43118</v>
      </c>
      <c r="H34" s="112"/>
      <c r="I34" s="112">
        <v>42551</v>
      </c>
      <c r="J34" s="112"/>
      <c r="K34" s="112" t="s">
        <v>74</v>
      </c>
    </row>
    <row r="35" spans="2:11" ht="31.2" x14ac:dyDescent="0.3">
      <c r="B35" s="102" t="s">
        <v>120</v>
      </c>
      <c r="C35" s="118" t="s">
        <v>98</v>
      </c>
      <c r="D35" s="119"/>
      <c r="E35" s="112" t="s">
        <v>96</v>
      </c>
      <c r="F35" s="112"/>
      <c r="G35" s="119" t="s">
        <v>99</v>
      </c>
      <c r="H35" s="119"/>
      <c r="I35" s="112" t="s">
        <v>97</v>
      </c>
      <c r="J35" s="112"/>
      <c r="K35" s="112" t="s">
        <v>96</v>
      </c>
    </row>
    <row r="36" spans="2:11" ht="165" customHeight="1" x14ac:dyDescent="0.3">
      <c r="B36" s="107" t="s">
        <v>115</v>
      </c>
      <c r="C36" s="116"/>
      <c r="D36" s="120" t="s">
        <v>140</v>
      </c>
      <c r="E36" s="83"/>
      <c r="F36" s="120" t="s">
        <v>141</v>
      </c>
      <c r="G36" s="116"/>
      <c r="H36" s="120" t="s">
        <v>142</v>
      </c>
      <c r="I36" s="116"/>
      <c r="J36" s="120" t="s">
        <v>149</v>
      </c>
      <c r="K36" s="116"/>
    </row>
    <row r="37" spans="2:11" x14ac:dyDescent="0.3">
      <c r="B37" s="106"/>
      <c r="C37" s="116"/>
      <c r="D37" s="116" t="s">
        <v>145</v>
      </c>
      <c r="E37" s="116">
        <v>1600</v>
      </c>
      <c r="F37" s="116" t="s">
        <v>146</v>
      </c>
      <c r="G37" s="116">
        <v>1600</v>
      </c>
      <c r="H37" s="116" t="s">
        <v>146</v>
      </c>
      <c r="I37" s="116">
        <v>1400</v>
      </c>
      <c r="J37" s="116" t="s">
        <v>146</v>
      </c>
      <c r="K37" s="116">
        <v>1400</v>
      </c>
    </row>
    <row r="38" spans="2:11" x14ac:dyDescent="0.3">
      <c r="C38" s="116"/>
      <c r="D38" s="116"/>
      <c r="E38" s="116"/>
      <c r="F38" s="116"/>
      <c r="G38" s="116"/>
      <c r="H38" s="116"/>
      <c r="I38" s="116"/>
      <c r="J38" s="116"/>
      <c r="K38" s="116"/>
    </row>
    <row r="39" spans="2:11" x14ac:dyDescent="0.3">
      <c r="B39" s="63" t="s">
        <v>118</v>
      </c>
      <c r="C39" s="115">
        <f>AVERAGE(C32,E32,G32,I32)</f>
        <v>1401.2974228866581</v>
      </c>
      <c r="D39" s="83"/>
      <c r="E39" s="83"/>
      <c r="F39" s="83"/>
      <c r="G39" s="83"/>
      <c r="H39" s="83"/>
      <c r="I39" s="83"/>
      <c r="J39" s="83"/>
      <c r="K39" s="83"/>
    </row>
    <row r="40" spans="2:11" x14ac:dyDescent="0.3">
      <c r="B40" s="63" t="s">
        <v>117</v>
      </c>
      <c r="C40" s="83">
        <f>AVERAGE(E37,G37,I37,K37)</f>
        <v>1500</v>
      </c>
      <c r="D40" s="83"/>
      <c r="E40" s="83"/>
      <c r="F40" s="83"/>
      <c r="G40" s="83"/>
      <c r="H40" s="83"/>
      <c r="I40" s="83"/>
      <c r="J40" s="83"/>
      <c r="K40" s="83"/>
    </row>
    <row r="41" spans="2:11" x14ac:dyDescent="0.3">
      <c r="B41" s="63" t="s">
        <v>133</v>
      </c>
      <c r="C41" s="115">
        <f>C40*90</f>
        <v>135000</v>
      </c>
      <c r="D41" s="110"/>
      <c r="E41" s="110"/>
      <c r="F41" s="110"/>
      <c r="G41" s="110"/>
      <c r="H41" s="110"/>
      <c r="I41" s="110"/>
      <c r="J41" s="110"/>
      <c r="K41" s="110"/>
    </row>
    <row r="42" spans="2:11" x14ac:dyDescent="0.3">
      <c r="C42" s="110"/>
      <c r="D42" s="110"/>
      <c r="E42" s="110"/>
      <c r="F42" s="110"/>
      <c r="G42" s="110"/>
      <c r="H42" s="110"/>
      <c r="I42" s="110"/>
      <c r="J42" s="110"/>
      <c r="K42" s="110"/>
    </row>
    <row r="77" spans="2:25" ht="57.6" x14ac:dyDescent="0.3">
      <c r="B77" s="101"/>
      <c r="C77" s="102" t="s">
        <v>66</v>
      </c>
      <c r="D77" s="102"/>
      <c r="E77" s="102" t="s">
        <v>64</v>
      </c>
      <c r="F77" s="102"/>
      <c r="G77" s="102" t="s">
        <v>65</v>
      </c>
      <c r="H77" s="102"/>
      <c r="I77" s="102" t="s">
        <v>69</v>
      </c>
      <c r="J77" s="102"/>
      <c r="K77" s="102" t="s">
        <v>70</v>
      </c>
      <c r="L77" s="102" t="s">
        <v>83</v>
      </c>
      <c r="M77" s="102" t="s">
        <v>84</v>
      </c>
      <c r="N77" s="102" t="s">
        <v>85</v>
      </c>
      <c r="O77" s="102" t="s">
        <v>86</v>
      </c>
      <c r="P77" s="102" t="s">
        <v>87</v>
      </c>
      <c r="Q77" s="102" t="s">
        <v>88</v>
      </c>
      <c r="R77" s="103" t="s">
        <v>89</v>
      </c>
      <c r="S77" s="103" t="s">
        <v>90</v>
      </c>
      <c r="T77" s="102" t="s">
        <v>91</v>
      </c>
      <c r="U77" s="102" t="s">
        <v>92</v>
      </c>
      <c r="V77" s="102" t="s">
        <v>58</v>
      </c>
      <c r="W77" s="102" t="s">
        <v>94</v>
      </c>
      <c r="X77" s="102" t="s">
        <v>95</v>
      </c>
      <c r="Y77" s="102"/>
    </row>
    <row r="78" spans="2:25" ht="46.8" x14ac:dyDescent="0.3">
      <c r="B78" s="104" t="s">
        <v>79</v>
      </c>
      <c r="C78" s="98" t="s">
        <v>68</v>
      </c>
      <c r="D78" s="98"/>
      <c r="E78" s="98" t="s">
        <v>61</v>
      </c>
      <c r="F78" s="98"/>
      <c r="G78" s="98" t="s">
        <v>103</v>
      </c>
      <c r="H78" s="98"/>
      <c r="I78" s="105" t="s">
        <v>62</v>
      </c>
      <c r="J78" s="105"/>
      <c r="K78" s="96" t="s">
        <v>71</v>
      </c>
      <c r="L78" s="98">
        <v>45</v>
      </c>
      <c r="M78" s="98">
        <v>1958</v>
      </c>
      <c r="N78" s="98">
        <v>1</v>
      </c>
      <c r="O78" s="96" t="s">
        <v>75</v>
      </c>
      <c r="P78" s="98">
        <v>1</v>
      </c>
      <c r="Q78" s="98">
        <v>1</v>
      </c>
      <c r="R78" s="98">
        <v>10000</v>
      </c>
      <c r="S78" s="98" t="s">
        <v>63</v>
      </c>
      <c r="T78" s="98">
        <v>10000</v>
      </c>
      <c r="U78" s="98">
        <v>222.22</v>
      </c>
      <c r="V78" s="98" t="s">
        <v>93</v>
      </c>
      <c r="W78" s="99">
        <v>43522</v>
      </c>
      <c r="X78" s="96" t="s">
        <v>98</v>
      </c>
      <c r="Y78" s="98"/>
    </row>
    <row r="79" spans="2:25" ht="15.6" x14ac:dyDescent="0.3">
      <c r="B79" s="104" t="s">
        <v>80</v>
      </c>
      <c r="C79" s="98" t="s">
        <v>67</v>
      </c>
      <c r="D79" s="98"/>
      <c r="E79" s="98" t="s">
        <v>61</v>
      </c>
      <c r="F79" s="98"/>
      <c r="G79" s="98" t="s">
        <v>103</v>
      </c>
      <c r="H79" s="98"/>
      <c r="I79" s="105" t="s">
        <v>62</v>
      </c>
      <c r="J79" s="105"/>
      <c r="K79" s="96" t="s">
        <v>72</v>
      </c>
      <c r="L79" s="98">
        <v>51.2</v>
      </c>
      <c r="M79" s="98">
        <v>1958</v>
      </c>
      <c r="N79" s="98">
        <v>2</v>
      </c>
      <c r="O79" s="98" t="s">
        <v>76</v>
      </c>
      <c r="P79" s="98">
        <v>1</v>
      </c>
      <c r="Q79" s="98">
        <v>2</v>
      </c>
      <c r="R79" s="98">
        <v>55969.47</v>
      </c>
      <c r="S79" s="98">
        <v>24030.53</v>
      </c>
      <c r="T79" s="98">
        <v>80000</v>
      </c>
      <c r="U79" s="98">
        <v>1562.5</v>
      </c>
      <c r="V79" s="98" t="s">
        <v>59</v>
      </c>
      <c r="W79" s="99">
        <v>43299</v>
      </c>
      <c r="X79" s="98" t="s">
        <v>96</v>
      </c>
      <c r="Y79" s="98"/>
    </row>
    <row r="80" spans="2:25" ht="31.2" x14ac:dyDescent="0.3">
      <c r="B80" s="104" t="s">
        <v>81</v>
      </c>
      <c r="C80" s="98" t="s">
        <v>68</v>
      </c>
      <c r="D80" s="98"/>
      <c r="E80" s="98" t="s">
        <v>61</v>
      </c>
      <c r="F80" s="98"/>
      <c r="G80" s="98" t="s">
        <v>104</v>
      </c>
      <c r="H80" s="98"/>
      <c r="I80" s="105" t="s">
        <v>62</v>
      </c>
      <c r="J80" s="105"/>
      <c r="K80" s="96" t="s">
        <v>101</v>
      </c>
      <c r="L80" s="98">
        <v>51</v>
      </c>
      <c r="M80" s="98">
        <v>1980</v>
      </c>
      <c r="N80" s="98">
        <v>2</v>
      </c>
      <c r="O80" s="98" t="s">
        <v>77</v>
      </c>
      <c r="P80" s="98">
        <v>1</v>
      </c>
      <c r="Q80" s="98">
        <v>3</v>
      </c>
      <c r="R80" s="98">
        <v>22809</v>
      </c>
      <c r="S80" s="98">
        <v>74691</v>
      </c>
      <c r="T80" s="98">
        <v>97500</v>
      </c>
      <c r="U80" s="98">
        <v>1911.76</v>
      </c>
      <c r="V80" s="98" t="s">
        <v>60</v>
      </c>
      <c r="W80" s="99">
        <v>43118</v>
      </c>
      <c r="X80" s="96" t="s">
        <v>99</v>
      </c>
      <c r="Y80" s="98"/>
    </row>
    <row r="81" spans="2:25" ht="15.6" x14ac:dyDescent="0.3">
      <c r="B81" s="104" t="s">
        <v>82</v>
      </c>
      <c r="C81" s="98" t="s">
        <v>68</v>
      </c>
      <c r="D81" s="98"/>
      <c r="E81" s="98" t="s">
        <v>61</v>
      </c>
      <c r="F81" s="98"/>
      <c r="G81" s="98" t="s">
        <v>104</v>
      </c>
      <c r="H81" s="98"/>
      <c r="I81" s="105" t="s">
        <v>62</v>
      </c>
      <c r="J81" s="105"/>
      <c r="K81" s="96" t="s">
        <v>73</v>
      </c>
      <c r="L81" s="98">
        <v>59</v>
      </c>
      <c r="M81" s="98">
        <v>1970</v>
      </c>
      <c r="N81" s="98">
        <v>2</v>
      </c>
      <c r="O81" s="98" t="s">
        <v>78</v>
      </c>
      <c r="P81" s="98">
        <v>2</v>
      </c>
      <c r="Q81" s="98">
        <v>3</v>
      </c>
      <c r="R81" s="98">
        <v>25000</v>
      </c>
      <c r="S81" s="98" t="s">
        <v>63</v>
      </c>
      <c r="T81" s="98">
        <v>25000</v>
      </c>
      <c r="U81" s="98">
        <v>423.73</v>
      </c>
      <c r="V81" s="98" t="s">
        <v>100</v>
      </c>
      <c r="W81" s="99">
        <v>42551</v>
      </c>
      <c r="X81" s="98" t="s">
        <v>97</v>
      </c>
      <c r="Y81" s="98"/>
    </row>
    <row r="82" spans="2:25" ht="15.6" x14ac:dyDescent="0.3">
      <c r="B82" s="104" t="s">
        <v>102</v>
      </c>
      <c r="C82" s="98" t="s">
        <v>67</v>
      </c>
      <c r="D82" s="98"/>
      <c r="E82" s="98" t="s">
        <v>61</v>
      </c>
      <c r="F82" s="98"/>
      <c r="G82" s="98" t="s">
        <v>103</v>
      </c>
      <c r="H82" s="98"/>
      <c r="I82" s="105">
        <v>5800</v>
      </c>
      <c r="J82" s="105"/>
      <c r="K82" s="94" t="s">
        <v>105</v>
      </c>
      <c r="L82" s="94">
        <v>90</v>
      </c>
      <c r="M82" s="94">
        <v>1980</v>
      </c>
      <c r="N82" s="94">
        <v>2</v>
      </c>
      <c r="O82" s="100" t="s">
        <v>78</v>
      </c>
      <c r="P82" s="94">
        <v>1</v>
      </c>
      <c r="Q82" s="94">
        <v>1</v>
      </c>
      <c r="R82" s="94" t="s">
        <v>74</v>
      </c>
      <c r="S82" s="94" t="s">
        <v>74</v>
      </c>
      <c r="T82" s="94" t="s">
        <v>74</v>
      </c>
      <c r="U82" s="94" t="s">
        <v>74</v>
      </c>
      <c r="V82" s="94" t="s">
        <v>59</v>
      </c>
      <c r="W82" s="95" t="s">
        <v>74</v>
      </c>
      <c r="X82" s="94" t="s">
        <v>96</v>
      </c>
      <c r="Y82" s="94"/>
    </row>
    <row r="83" spans="2:25" ht="15.6" x14ac:dyDescent="0.3">
      <c r="C83" s="97"/>
      <c r="D83" s="98"/>
      <c r="E83" s="94"/>
      <c r="F83" s="98"/>
      <c r="G83" s="94"/>
      <c r="H83" s="98"/>
      <c r="I83" s="94"/>
      <c r="J83" s="98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4"/>
      <c r="Y83" s="94"/>
    </row>
    <row r="84" spans="2:25" ht="15.6" x14ac:dyDescent="0.3">
      <c r="C84" s="97"/>
      <c r="D84" s="98"/>
      <c r="E84" s="94"/>
      <c r="F84" s="98"/>
      <c r="G84" s="94"/>
      <c r="H84" s="98"/>
      <c r="I84" s="94"/>
      <c r="J84" s="98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4"/>
      <c r="Y84" s="9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Example_cash Flow 1</vt:lpstr>
      <vt:lpstr>Example cash flow 2</vt:lpstr>
      <vt:lpstr>Example cash flow 3</vt:lpstr>
      <vt:lpstr>Exercise_DFC_solution</vt:lpstr>
      <vt:lpstr>Comparable sales_assignment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Hannun</dc:creator>
  <cp:lastModifiedBy>Heikki Kangas</cp:lastModifiedBy>
  <cp:lastPrinted>2019-05-04T08:03:13Z</cp:lastPrinted>
  <dcterms:created xsi:type="dcterms:W3CDTF">2003-11-02T08:18:27Z</dcterms:created>
  <dcterms:modified xsi:type="dcterms:W3CDTF">2019-05-16T11:12:51Z</dcterms:modified>
</cp:coreProperties>
</file>